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7 Greenfield Family Apartments\"/>
    </mc:Choice>
  </mc:AlternateContent>
  <xr:revisionPtr revIDLastSave="0" documentId="13_ncr:1_{0FF8CB4A-F9EC-4806-A38E-7161BBCAD453}" xr6:coauthVersionLast="47" xr6:coauthVersionMax="47" xr10:uidLastSave="{00000000-0000-0000-0000-000000000000}"/>
  <bookViews>
    <workbookView xWindow="57480" yWindow="-2325" windowWidth="29040" windowHeight="1584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D13" i="4"/>
  <c r="C13" i="4"/>
  <c r="F13" i="4"/>
  <c r="S45" i="4"/>
  <c r="E4" i="4"/>
  <c r="E99" i="4"/>
  <c r="E40" i="7"/>
  <c r="D45" i="4"/>
  <c r="C53" i="4"/>
  <c r="D53" i="4"/>
  <c r="D94" i="4"/>
  <c r="C94" i="4"/>
  <c r="D91" i="4"/>
  <c r="C91" i="4"/>
  <c r="D48" i="4"/>
  <c r="C48" i="4"/>
  <c r="C49" i="4" l="1"/>
  <c r="W859" i="3"/>
  <c r="W866" i="3"/>
  <c r="W861" i="3"/>
  <c r="W844" i="3"/>
  <c r="E41" i="7"/>
  <c r="AC890" i="3"/>
  <c r="AF1027" i="3"/>
  <c r="D49" i="4"/>
  <c r="C69" i="4" l="1"/>
  <c r="S40" i="4" l="1"/>
  <c r="S43" i="4"/>
  <c r="S94" i="4"/>
  <c r="C88" i="4"/>
  <c r="D85" i="4"/>
  <c r="C85" i="4"/>
  <c r="S85" i="4" s="1"/>
  <c r="S79" i="4"/>
  <c r="S47" i="4"/>
  <c r="S99" i="4"/>
  <c r="S90" i="4"/>
  <c r="S91" i="4"/>
  <c r="S92" i="4"/>
  <c r="S93" i="4"/>
  <c r="S95" i="4"/>
  <c r="S89" i="4"/>
  <c r="S86" i="4"/>
  <c r="S87" i="4"/>
  <c r="S84" i="4"/>
  <c r="S80" i="4"/>
  <c r="S66" i="4"/>
  <c r="S67" i="4"/>
  <c r="S68" i="4"/>
  <c r="S65" i="4"/>
  <c r="S46" i="4"/>
  <c r="S50" i="4"/>
  <c r="S51" i="4"/>
  <c r="S52" i="4"/>
  <c r="S41" i="4"/>
  <c r="S31" i="4"/>
  <c r="S32" i="4"/>
  <c r="S33" i="4"/>
  <c r="S34" i="4"/>
  <c r="S35" i="4"/>
  <c r="S36" i="4"/>
  <c r="S37" i="4"/>
  <c r="S30" i="4"/>
  <c r="D69" i="4" l="1"/>
  <c r="AC889" i="3" l="1"/>
  <c r="W854" i="3"/>
  <c r="W846" i="3"/>
  <c r="W842" i="3"/>
  <c r="G70" i="21" l="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E66" i="4" s="1"/>
  <c r="R66" i="4" s="1"/>
  <c r="B67" i="4"/>
  <c r="E67" i="4" s="1"/>
  <c r="R67" i="4" s="1"/>
  <c r="B68" i="4"/>
  <c r="E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G67" i="13" s="1"/>
  <c r="E68" i="13"/>
  <c r="E69" i="13"/>
  <c r="G69" i="13" s="1"/>
  <c r="B66" i="13"/>
  <c r="B67" i="13"/>
  <c r="D67" i="13" s="1"/>
  <c r="B68" i="13"/>
  <c r="B69" i="13"/>
  <c r="D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C80" i="11"/>
  <c r="C81" i="11"/>
  <c r="B80" i="11"/>
  <c r="B81" i="11"/>
  <c r="I96" i="13"/>
  <c r="J96" i="13"/>
  <c r="J81" i="13"/>
  <c r="I81" i="13"/>
  <c r="F81" i="13"/>
  <c r="C81" i="13"/>
  <c r="H80" i="13"/>
  <c r="E80" i="13"/>
  <c r="G80" i="13" s="1"/>
  <c r="B80" i="13"/>
  <c r="D80" i="13" s="1"/>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G95" i="13" s="1"/>
  <c r="E94" i="13"/>
  <c r="G94" i="13" s="1"/>
  <c r="E93" i="13"/>
  <c r="G93" i="13" s="1"/>
  <c r="E92" i="13"/>
  <c r="G92" i="13" s="1"/>
  <c r="E91" i="13"/>
  <c r="G91" i="13" s="1"/>
  <c r="E90" i="13"/>
  <c r="G90" i="13" s="1"/>
  <c r="E89" i="13"/>
  <c r="G89" i="13" s="1"/>
  <c r="E87" i="13"/>
  <c r="E86" i="13"/>
  <c r="G86" i="13" s="1"/>
  <c r="E85" i="13"/>
  <c r="G85" i="13" s="1"/>
  <c r="E84" i="13"/>
  <c r="G84" i="13" s="1"/>
  <c r="E79" i="13"/>
  <c r="G79" i="13" s="1"/>
  <c r="E65" i="13"/>
  <c r="G65" i="13" s="1"/>
  <c r="E53" i="13"/>
  <c r="G53" i="13" s="1"/>
  <c r="E52" i="13"/>
  <c r="G52" i="13" s="1"/>
  <c r="E51" i="13"/>
  <c r="G51" i="13" s="1"/>
  <c r="E50" i="13"/>
  <c r="G50" i="13" s="1"/>
  <c r="E49" i="13"/>
  <c r="G49" i="13" s="1"/>
  <c r="E48" i="13"/>
  <c r="G48" i="13" s="1"/>
  <c r="E47" i="13"/>
  <c r="G47" i="13" s="1"/>
  <c r="E46" i="13"/>
  <c r="G46" i="13" s="1"/>
  <c r="E45" i="13"/>
  <c r="G45" i="13" s="1"/>
  <c r="E43" i="13"/>
  <c r="G43" i="13" s="1"/>
  <c r="E41" i="13"/>
  <c r="E40" i="13"/>
  <c r="G40" i="13" s="1"/>
  <c r="G42" i="13" s="1"/>
  <c r="E37" i="13"/>
  <c r="G37" i="13" s="1"/>
  <c r="E35" i="13"/>
  <c r="G35" i="13" s="1"/>
  <c r="E34" i="13"/>
  <c r="G34" i="13" s="1"/>
  <c r="E33" i="13"/>
  <c r="E32" i="13"/>
  <c r="G32" i="13" s="1"/>
  <c r="E31" i="13"/>
  <c r="G31" i="13" s="1"/>
  <c r="E30" i="13"/>
  <c r="G30" i="13" s="1"/>
  <c r="E29" i="13"/>
  <c r="E27"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B86" i="13"/>
  <c r="D86" i="13" s="1"/>
  <c r="B85" i="13"/>
  <c r="D85" i="13" s="1"/>
  <c r="B84" i="13"/>
  <c r="D84" i="13" s="1"/>
  <c r="B83" i="13"/>
  <c r="D83" i="13" s="1"/>
  <c r="B79" i="13"/>
  <c r="D79" i="13" s="1"/>
  <c r="B76" i="13"/>
  <c r="B75" i="13"/>
  <c r="D75" i="13" s="1"/>
  <c r="D77" i="13" s="1"/>
  <c r="B74" i="13"/>
  <c r="B73" i="13"/>
  <c r="B72" i="13"/>
  <c r="B65" i="13"/>
  <c r="D65" i="13" s="1"/>
  <c r="B61" i="13"/>
  <c r="D61" i="13" s="1"/>
  <c r="B60" i="13"/>
  <c r="D60" i="13" s="1"/>
  <c r="B59" i="13"/>
  <c r="D59" i="13" s="1"/>
  <c r="B58" i="13"/>
  <c r="D58" i="13" s="1"/>
  <c r="B57" i="13"/>
  <c r="B56" i="13"/>
  <c r="B53" i="13"/>
  <c r="D53" i="13" s="1"/>
  <c r="B52" i="13"/>
  <c r="D52" i="13" s="1"/>
  <c r="B51" i="13"/>
  <c r="D51" i="13" s="1"/>
  <c r="B50" i="13"/>
  <c r="D50" i="13" s="1"/>
  <c r="B49" i="13"/>
  <c r="D49" i="13" s="1"/>
  <c r="B48" i="13"/>
  <c r="D48" i="13" s="1"/>
  <c r="B47" i="13"/>
  <c r="B46" i="13"/>
  <c r="D46" i="13" s="1"/>
  <c r="B45" i="13"/>
  <c r="D45" i="13" s="1"/>
  <c r="B43" i="13"/>
  <c r="D43" i="13" s="1"/>
  <c r="C42" i="4"/>
  <c r="B42" i="13" s="1"/>
  <c r="B41" i="13"/>
  <c r="B40" i="13"/>
  <c r="D40" i="13" s="1"/>
  <c r="D42" i="13" s="1"/>
  <c r="B37" i="13"/>
  <c r="D37" i="13" s="1"/>
  <c r="B35" i="13"/>
  <c r="D35" i="13" s="1"/>
  <c r="B34" i="13"/>
  <c r="D34" i="13" s="1"/>
  <c r="B33" i="13"/>
  <c r="B32" i="13"/>
  <c r="D32" i="13" s="1"/>
  <c r="B31" i="13"/>
  <c r="D31" i="13" s="1"/>
  <c r="B30" i="13"/>
  <c r="D30" i="13" s="1"/>
  <c r="B29" i="13"/>
  <c r="B27" i="13"/>
  <c r="B25" i="13"/>
  <c r="B23" i="13"/>
  <c r="B22" i="13"/>
  <c r="B21" i="13"/>
  <c r="B20" i="13"/>
  <c r="B19" i="13"/>
  <c r="B18" i="13"/>
  <c r="B17" i="13"/>
  <c r="B5" i="13"/>
  <c r="B6" i="13"/>
  <c r="B7" i="13"/>
  <c r="C8" i="4"/>
  <c r="B8" i="13" s="1"/>
  <c r="B9" i="13"/>
  <c r="B10" i="13"/>
  <c r="B13" i="13"/>
  <c r="D13" i="13" s="1"/>
  <c r="B14" i="13"/>
  <c r="B15" i="13"/>
  <c r="B4" i="13"/>
  <c r="D4" i="13" s="1"/>
  <c r="D8"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R101" i="4"/>
  <c r="R99" i="4"/>
  <c r="R76" i="4"/>
  <c r="R72" i="4"/>
  <c r="R73" i="4"/>
  <c r="R74" i="4"/>
  <c r="R60" i="4"/>
  <c r="R59" i="4"/>
  <c r="R57" i="4"/>
  <c r="R56" i="4"/>
  <c r="R41" i="4"/>
  <c r="R33" i="4"/>
  <c r="R30" i="4"/>
  <c r="R29"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N11" i="4"/>
  <c r="O11" i="4"/>
  <c r="B13" i="4"/>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K31" i="4" s="1"/>
  <c r="B32" i="4"/>
  <c r="K32" i="4" s="1"/>
  <c r="R32" i="4" s="1"/>
  <c r="B33" i="4"/>
  <c r="B34" i="4"/>
  <c r="K34" i="4" s="1"/>
  <c r="R34" i="4" s="1"/>
  <c r="B35" i="4"/>
  <c r="E35" i="4" s="1"/>
  <c r="R35" i="4" s="1"/>
  <c r="B37" i="4"/>
  <c r="E37" i="4" s="1"/>
  <c r="R37" i="4" s="1"/>
  <c r="G38" i="4"/>
  <c r="H38" i="4"/>
  <c r="L38" i="4"/>
  <c r="O38" i="4"/>
  <c r="P38" i="4"/>
  <c r="P42" i="4"/>
  <c r="P54" i="4"/>
  <c r="P62" i="4"/>
  <c r="P70" i="4"/>
  <c r="P77" i="4"/>
  <c r="P96" i="4"/>
  <c r="P104" i="4"/>
  <c r="Q38" i="4"/>
  <c r="B40" i="4"/>
  <c r="E40" i="4" s="1"/>
  <c r="E42" i="4" s="1"/>
  <c r="B41" i="4"/>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B57" i="4"/>
  <c r="B58" i="4"/>
  <c r="F58" i="4" s="1"/>
  <c r="B60" i="4"/>
  <c r="B61" i="4"/>
  <c r="F61" i="4" s="1"/>
  <c r="R61" i="4" s="1"/>
  <c r="E62" i="4"/>
  <c r="G62" i="4"/>
  <c r="H62" i="4"/>
  <c r="K62" i="4"/>
  <c r="L62" i="4"/>
  <c r="O62" i="4"/>
  <c r="O70" i="4"/>
  <c r="O77" i="4"/>
  <c r="O96" i="4"/>
  <c r="O104" i="4"/>
  <c r="Q62" i="4"/>
  <c r="B65" i="4"/>
  <c r="E65" i="4" s="1"/>
  <c r="R65" i="4" s="1"/>
  <c r="F70" i="4"/>
  <c r="G70" i="4"/>
  <c r="H70" i="4"/>
  <c r="I70" i="4"/>
  <c r="K70" i="4"/>
  <c r="L70" i="4"/>
  <c r="Q70" i="4"/>
  <c r="B72" i="4"/>
  <c r="B73" i="4"/>
  <c r="B74" i="4"/>
  <c r="B75" i="4"/>
  <c r="F75" i="4" s="1"/>
  <c r="R75" i="4" s="1"/>
  <c r="B76" i="4"/>
  <c r="E77" i="4"/>
  <c r="G77" i="4"/>
  <c r="H77" i="4"/>
  <c r="I77" i="4"/>
  <c r="K77" i="4"/>
  <c r="L77" i="4"/>
  <c r="Q77" i="4"/>
  <c r="B79" i="4"/>
  <c r="E79" i="4" s="1"/>
  <c r="R79" i="4" s="1"/>
  <c r="B83" i="4"/>
  <c r="F83" i="4" s="1"/>
  <c r="B84" i="4"/>
  <c r="E84" i="4" s="1"/>
  <c r="R84" i="4" s="1"/>
  <c r="B85" i="4"/>
  <c r="E85" i="4" s="1"/>
  <c r="B86" i="4"/>
  <c r="E86" i="4" s="1"/>
  <c r="R86" i="4" s="1"/>
  <c r="B87" i="4"/>
  <c r="E87" i="4" s="1"/>
  <c r="R87" i="4" s="1"/>
  <c r="B88" i="4"/>
  <c r="F88" i="4" s="1"/>
  <c r="R88" i="4" s="1"/>
  <c r="B89" i="4"/>
  <c r="E89" i="4" s="1"/>
  <c r="R89" i="4" s="1"/>
  <c r="B90" i="4"/>
  <c r="E90" i="4" s="1"/>
  <c r="R90" i="4" s="1"/>
  <c r="B91" i="4"/>
  <c r="E91" i="4" s="1"/>
  <c r="R91" i="4" s="1"/>
  <c r="B92" i="4"/>
  <c r="E92" i="4" s="1"/>
  <c r="R92" i="4" s="1"/>
  <c r="B93" i="4"/>
  <c r="E93" i="4" s="1"/>
  <c r="R93" i="4" s="1"/>
  <c r="B94" i="4"/>
  <c r="E94" i="4" s="1"/>
  <c r="R94" i="4" s="1"/>
  <c r="B95" i="4"/>
  <c r="E95" i="4" s="1"/>
  <c r="R95" i="4" s="1"/>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87" i="11" l="1"/>
  <c r="E70" i="4"/>
  <c r="R40" i="4"/>
  <c r="R42" i="4" s="1"/>
  <c r="E54" i="4"/>
  <c r="R45" i="4"/>
  <c r="R54" i="4" s="1"/>
  <c r="F62" i="4"/>
  <c r="F63" i="4" s="1"/>
  <c r="D86" i="11"/>
  <c r="F96" i="4"/>
  <c r="K38" i="4"/>
  <c r="K63" i="4" s="1"/>
  <c r="K97" i="4" s="1"/>
  <c r="K105" i="4" s="1"/>
  <c r="R68" i="4"/>
  <c r="R70" i="4" s="1"/>
  <c r="R83" i="4"/>
  <c r="E38" i="4"/>
  <c r="E63" i="4" s="1"/>
  <c r="E81" i="4"/>
  <c r="F77" i="4"/>
  <c r="R58" i="4"/>
  <c r="R62" i="4" s="1"/>
  <c r="E96" i="4"/>
  <c r="R85" i="4"/>
  <c r="D93" i="11"/>
  <c r="D62" i="13"/>
  <c r="R31" i="4"/>
  <c r="R38" i="4" s="1"/>
  <c r="D36" i="11"/>
  <c r="AH724" i="3"/>
  <c r="D70" i="13"/>
  <c r="G70" i="13"/>
  <c r="D81" i="13"/>
  <c r="G96" i="13"/>
  <c r="AH723" i="3"/>
  <c r="G81" i="13"/>
  <c r="D94" i="11"/>
  <c r="D54" i="13"/>
  <c r="G54" i="13"/>
  <c r="G38" i="13"/>
  <c r="D38" i="13"/>
  <c r="AH722" i="3"/>
  <c r="D104" i="11"/>
  <c r="D96" i="13"/>
  <c r="D25" i="11"/>
  <c r="D33" i="11"/>
  <c r="AH726" i="3"/>
  <c r="AH725" i="3"/>
  <c r="BE23" i="3"/>
  <c r="D92" i="11"/>
  <c r="B26" i="4"/>
  <c r="D34" i="11"/>
  <c r="D101" i="11"/>
  <c r="D70" i="11"/>
  <c r="D6" i="11"/>
  <c r="D54" i="11"/>
  <c r="D35" i="11"/>
  <c r="D32" i="11"/>
  <c r="D103" i="11"/>
  <c r="D91" i="11"/>
  <c r="D90" i="11"/>
  <c r="D89" i="11"/>
  <c r="D88" i="11"/>
  <c r="D96"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R26" i="4"/>
  <c r="B97" i="11"/>
  <c r="C55" i="11"/>
  <c r="D23" i="11"/>
  <c r="D19" i="11"/>
  <c r="D14" i="11"/>
  <c r="D7" i="11"/>
  <c r="R8" i="4"/>
  <c r="R81" i="4"/>
  <c r="M53" i="7"/>
  <c r="K58" i="7"/>
  <c r="N188" i="23"/>
  <c r="C27" i="11"/>
  <c r="AB48" i="15"/>
  <c r="D46" i="11"/>
  <c r="B82" i="11"/>
  <c r="H63" i="4"/>
  <c r="H97" i="4" s="1"/>
  <c r="H105" i="4" s="1"/>
  <c r="G63" i="4"/>
  <c r="G97" i="4" s="1"/>
  <c r="G105" i="4" s="1"/>
  <c r="I58" i="7"/>
  <c r="C9" i="11"/>
  <c r="B63" i="11"/>
  <c r="T63" i="4"/>
  <c r="B96" i="4"/>
  <c r="B38" i="4"/>
  <c r="D84" i="11"/>
  <c r="B54" i="13"/>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6" i="4" l="1"/>
  <c r="F97" i="4"/>
  <c r="F105" i="4" s="1"/>
  <c r="E97" i="4"/>
  <c r="E105" i="4" s="1"/>
  <c r="BE68" i="3"/>
  <c r="D63" i="13"/>
  <c r="D97" i="13" s="1"/>
  <c r="D105" i="13" s="1"/>
  <c r="G63" i="13"/>
  <c r="G97" i="13" s="1"/>
  <c r="G105" i="13" s="1"/>
  <c r="G107" i="13" s="1"/>
  <c r="N195" i="23"/>
  <c r="D43" i="11"/>
  <c r="D55" i="11"/>
  <c r="B12" i="4"/>
  <c r="D71"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T805" i="20"/>
  <c r="AF805" i="20" s="1"/>
  <c r="BE72" i="3" s="1"/>
  <c r="AG268" i="20"/>
  <c r="AG270" i="20" s="1"/>
  <c r="AK273" i="20" s="1"/>
  <c r="T812" i="20" s="1"/>
  <c r="AF812" i="20" s="1"/>
  <c r="BE77" i="3" s="1"/>
  <c r="AC454" i="3"/>
  <c r="N185" i="23"/>
  <c r="BE22" i="3"/>
  <c r="S107" i="4"/>
  <c r="E105" i="13"/>
  <c r="BA1056" i="3"/>
  <c r="AZ1051" i="3"/>
  <c r="H105" i="13"/>
  <c r="T107" i="4"/>
  <c r="H107" i="13" s="1"/>
  <c r="AD11" i="15" s="1"/>
  <c r="AD23" i="15" s="1"/>
  <c r="AD26" i="15" s="1"/>
  <c r="AD28" i="15" s="1"/>
  <c r="Q58" i="7"/>
  <c r="S53" i="7"/>
  <c r="G45" i="21"/>
  <c r="G47" i="21" s="1"/>
  <c r="E10" i="21" s="1"/>
  <c r="E11" i="21"/>
  <c r="Y26" i="15"/>
  <c r="Y28" i="15" s="1"/>
  <c r="Y64" i="15" s="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1029" i="3" l="1"/>
  <c r="AJ1041" i="3"/>
  <c r="BE44" i="3"/>
  <c r="F457" i="3"/>
  <c r="AC456"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G80" i="21"/>
  <c r="E15" i="21" s="1"/>
  <c r="W58" i="7"/>
  <c r="Y53" i="7"/>
  <c r="T24" i="15"/>
  <c r="Y38" i="15" s="1"/>
  <c r="Y40" i="15" s="1"/>
  <c r="AP557" i="20"/>
  <c r="AP556" i="20" s="1"/>
  <c r="AP559" i="20" s="1"/>
  <c r="AF552" i="20" s="1"/>
  <c r="AF553" i="20" s="1"/>
  <c r="AK559" i="20" s="1"/>
  <c r="T818" i="20" s="1"/>
  <c r="AF818" i="20" s="1"/>
  <c r="K11" i="7"/>
  <c r="K37" i="7" s="1"/>
  <c r="K45" i="7" s="1"/>
  <c r="O5" i="7"/>
  <c r="Q4" i="7"/>
  <c r="M7" i="7"/>
  <c r="M11" i="7" s="1"/>
  <c r="M37" i="7" s="1"/>
  <c r="O6" i="7"/>
  <c r="G62" i="7"/>
  <c r="G67" i="7" s="1"/>
  <c r="I48" i="7"/>
  <c r="I60" i="7"/>
  <c r="I47" i="7"/>
  <c r="G101" i="21"/>
  <c r="G113" i="21"/>
  <c r="G97" i="21"/>
  <c r="S22" i="7"/>
  <c r="S35" i="7" s="1"/>
  <c r="U15" i="7"/>
  <c r="U8" i="7"/>
  <c r="S9" i="7"/>
  <c r="E67" i="7" l="1"/>
  <c r="G66" i="7"/>
  <c r="G70" i="7" s="1"/>
  <c r="G72" i="7" s="1"/>
  <c r="BE81" i="3"/>
  <c r="AA53" i="7"/>
  <c r="Y58" i="7"/>
  <c r="AD38" i="15"/>
  <c r="AD40" i="15" s="1"/>
  <c r="Y41" i="15" s="1"/>
  <c r="AB56" i="15" s="1"/>
  <c r="G115" i="21"/>
  <c r="E17" i="21" s="1"/>
  <c r="E14" i="21" s="1"/>
  <c r="E18" i="21" s="1"/>
  <c r="K49" i="7"/>
  <c r="E70" i="7"/>
  <c r="E72" i="7" s="1"/>
  <c r="S4" i="7"/>
  <c r="Q5" i="7"/>
  <c r="O7" i="7"/>
  <c r="O11" i="7" s="1"/>
  <c r="O37" i="7" s="1"/>
  <c r="Q6" i="7"/>
  <c r="M45" i="7"/>
  <c r="M49" i="7"/>
  <c r="I62" i="7"/>
  <c r="I66" i="7" s="1"/>
  <c r="K47" i="7"/>
  <c r="K60" i="7"/>
  <c r="K48" i="7"/>
  <c r="U22" i="7"/>
  <c r="U35" i="7" s="1"/>
  <c r="W15" i="7"/>
  <c r="U9" i="7"/>
  <c r="W8" i="7"/>
  <c r="I67" i="7" l="1"/>
  <c r="I70" i="7" s="1"/>
  <c r="I72" i="7" s="1"/>
  <c r="AC53" i="7"/>
  <c r="AA58" i="7"/>
  <c r="M26" i="3"/>
  <c r="BE19" i="3" s="1"/>
  <c r="U4" i="7"/>
  <c r="S5" i="7"/>
  <c r="M48" i="7"/>
  <c r="M47" i="7"/>
  <c r="M60" i="7"/>
  <c r="O45" i="7"/>
  <c r="O49" i="7"/>
  <c r="K62" i="7"/>
  <c r="Q7" i="7"/>
  <c r="Q11" i="7" s="1"/>
  <c r="Q37" i="7" s="1"/>
  <c r="S6" i="7"/>
  <c r="W22" i="7"/>
  <c r="W35" i="7" s="1"/>
  <c r="Y15" i="7"/>
  <c r="W9" i="7"/>
  <c r="Y8" i="7"/>
  <c r="K66" i="7" l="1"/>
  <c r="K67" i="7"/>
  <c r="K70" i="7" s="1"/>
  <c r="K72" i="7" s="1"/>
  <c r="AE53" i="7"/>
  <c r="AC58" i="7"/>
  <c r="AB57" i="15"/>
  <c r="P204" i="3"/>
  <c r="U5" i="7"/>
  <c r="W4" i="7"/>
  <c r="Q49" i="7"/>
  <c r="Q45" i="7"/>
  <c r="M62" i="7"/>
  <c r="M67" i="7" s="1"/>
  <c r="O47" i="7"/>
  <c r="O48" i="7"/>
  <c r="O60" i="7"/>
  <c r="S7" i="7"/>
  <c r="S11" i="7" s="1"/>
  <c r="S37" i="7" s="1"/>
  <c r="U6" i="7"/>
  <c r="Y22" i="7"/>
  <c r="Y35" i="7" s="1"/>
  <c r="AA15" i="7"/>
  <c r="Y9" i="7"/>
  <c r="AA8" i="7"/>
  <c r="M66" i="7" l="1"/>
  <c r="M70" i="7" s="1"/>
  <c r="M72" i="7" s="1"/>
  <c r="AG53" i="7"/>
  <c r="AG58" i="7" s="1"/>
  <c r="AE58" i="7"/>
  <c r="AB59" i="15"/>
  <c r="AB77" i="15" s="1"/>
  <c r="W5" i="7"/>
  <c r="Y4" i="7"/>
  <c r="U7" i="7"/>
  <c r="U11" i="7" s="1"/>
  <c r="U37" i="7" s="1"/>
  <c r="W6" i="7"/>
  <c r="O62" i="7"/>
  <c r="O67" i="7" s="1"/>
  <c r="Q60" i="7"/>
  <c r="Q62" i="7" s="1"/>
  <c r="Q48" i="7"/>
  <c r="Q47" i="7"/>
  <c r="S49" i="7"/>
  <c r="S45" i="7"/>
  <c r="AC15" i="7"/>
  <c r="AA22" i="7"/>
  <c r="AA35" i="7" s="1"/>
  <c r="AC8" i="7"/>
  <c r="AA9" i="7"/>
  <c r="O66" i="7" l="1"/>
  <c r="O70" i="7" s="1"/>
  <c r="O72" i="7" s="1"/>
  <c r="AB78" i="15"/>
  <c r="AB79" i="15" s="1"/>
  <c r="AB81" i="15" s="1"/>
  <c r="J82" i="15" s="1"/>
  <c r="AA4" i="7"/>
  <c r="Y5" i="7"/>
  <c r="Y6" i="7"/>
  <c r="W7" i="7"/>
  <c r="W11" i="7" s="1"/>
  <c r="W37" i="7" s="1"/>
  <c r="U45" i="7"/>
  <c r="U49" i="7"/>
  <c r="S48" i="7"/>
  <c r="S47" i="7"/>
  <c r="S60" i="7"/>
  <c r="S62" i="7" s="1"/>
  <c r="AE15" i="7"/>
  <c r="AC22" i="7"/>
  <c r="AC35" i="7" s="1"/>
  <c r="AC9" i="7"/>
  <c r="AE8" i="7"/>
  <c r="Q66" i="7" l="1"/>
  <c r="S67" i="7"/>
  <c r="S66" i="7"/>
  <c r="Q67" i="7"/>
  <c r="M27" i="3"/>
  <c r="BE20" i="3" s="1"/>
  <c r="I10" i="21"/>
  <c r="I11" i="21" s="1"/>
  <c r="AA5" i="7"/>
  <c r="AC4" i="7"/>
  <c r="U48" i="7"/>
  <c r="U60" i="7"/>
  <c r="U47" i="7"/>
  <c r="W49" i="7"/>
  <c r="W45" i="7"/>
  <c r="Y7" i="7"/>
  <c r="Y11" i="7" s="1"/>
  <c r="Y37" i="7" s="1"/>
  <c r="AA6" i="7"/>
  <c r="AE22" i="7"/>
  <c r="AE35" i="7" s="1"/>
  <c r="AG15" i="7"/>
  <c r="AG22" i="7" s="1"/>
  <c r="AG35" i="7" s="1"/>
  <c r="AE9" i="7"/>
  <c r="AG8" i="7"/>
  <c r="AG9" i="7" s="1"/>
  <c r="Q70" i="7" l="1"/>
  <c r="Q72" i="7" s="1"/>
  <c r="U67" i="7"/>
  <c r="U66" i="7"/>
  <c r="I18" i="21"/>
  <c r="H4" i="21" s="1"/>
  <c r="P205" i="3"/>
  <c r="S70" i="7"/>
  <c r="S72" i="7" s="1"/>
  <c r="AC5" i="7"/>
  <c r="AE4" i="7"/>
  <c r="AC6" i="7"/>
  <c r="AA7" i="7"/>
  <c r="AA11" i="7" s="1"/>
  <c r="AA37" i="7" s="1"/>
  <c r="Y49" i="7"/>
  <c r="Y45" i="7"/>
  <c r="W60" i="7"/>
  <c r="W47" i="7"/>
  <c r="W48" i="7"/>
  <c r="W67" i="7" l="1"/>
  <c r="W66" i="7"/>
  <c r="AE5" i="7"/>
  <c r="AG4" i="7"/>
  <c r="AA45" i="7"/>
  <c r="AA49" i="7"/>
  <c r="U70" i="7"/>
  <c r="U72" i="7" s="1"/>
  <c r="Y47" i="7"/>
  <c r="Y48" i="7"/>
  <c r="Y60" i="7"/>
  <c r="AE6" i="7"/>
  <c r="AC7" i="7"/>
  <c r="AC11" i="7" s="1"/>
  <c r="AC37" i="7" s="1"/>
  <c r="Y67" i="7" l="1"/>
  <c r="Y66" i="7"/>
  <c r="AG5" i="7"/>
  <c r="W70" i="7"/>
  <c r="W72" i="7" s="1"/>
  <c r="AA60" i="7"/>
  <c r="AA47" i="7"/>
  <c r="AA48" i="7"/>
  <c r="AC45" i="7"/>
  <c r="AC49" i="7"/>
  <c r="AE7" i="7"/>
  <c r="AE11" i="7" s="1"/>
  <c r="AE37" i="7" s="1"/>
  <c r="AG6" i="7"/>
  <c r="AA67" i="7" l="1"/>
  <c r="AA66" i="7"/>
  <c r="Y70" i="7"/>
  <c r="Y72" i="7" s="1"/>
  <c r="AG7" i="7"/>
  <c r="AG11" i="7" s="1"/>
  <c r="AG37" i="7" s="1"/>
  <c r="AE49" i="7"/>
  <c r="AE45" i="7"/>
  <c r="AC60" i="7"/>
  <c r="AC48" i="7"/>
  <c r="AC47" i="7"/>
  <c r="AC67" i="7" l="1"/>
  <c r="AC66" i="7"/>
  <c r="AA70" i="7"/>
  <c r="AA72" i="7" s="1"/>
  <c r="AE47" i="7"/>
  <c r="AE60" i="7"/>
  <c r="AE48" i="7"/>
  <c r="AG49" i="7"/>
  <c r="AG45" i="7"/>
  <c r="AE67" i="7" l="1"/>
  <c r="AE66" i="7"/>
  <c r="AG48" i="7"/>
  <c r="AG60" i="7"/>
  <c r="AG47" i="7"/>
  <c r="AC70" i="7"/>
  <c r="AC72" i="7" s="1"/>
  <c r="AG67" i="7" l="1"/>
  <c r="AG66" i="7"/>
  <c r="AE70" i="7"/>
  <c r="AE72" i="7" s="1"/>
  <c r="AG70" i="7" l="1"/>
  <c r="AG72" i="7" s="1"/>
  <c r="BH753" i="3"/>
  <c r="AC753" i="3" s="1"/>
  <c r="BE42" i="3" l="1"/>
  <c r="E93" i="20"/>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589AC5FE-D0FB-4F5D-BCED-59632FC052D7}">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<sst xmlns="http://schemas.openxmlformats.org/spreadsheetml/2006/main" count="5061" uniqueCount="2779">
  <si>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</si>
  <si>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</si>
  <si>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</si>
  <si>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</si>
  <si>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</si>
  <si>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</si>
  <si>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</si>
  <si>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</si>
  <si>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</si>
  <si>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</si>
  <si>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</si>
  <si>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</si>
  <si>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</si>
  <si>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</si>
  <si>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</si>
  <si>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</si>
  <si>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</si>
  <si>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</si>
  <si>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</si>
  <si>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</si>
  <si>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</si>
  <si>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</si>
  <si>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</si>
  <si>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</si>
  <si>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</si>
  <si>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</si>
  <si>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</si>
  <si>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</si>
  <si>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</si>
  <si>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</si>
  <si>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</si>
  <si>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</si>
  <si>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</si>
  <si>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</si>
  <si>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</si>
  <si>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</si>
  <si>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</si>
  <si>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</si>
  <si>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</si>
  <si>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</si>
  <si>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</si>
  <si>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</si>
  <si>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</si>
  <si>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</si>
  <si>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</si>
  <si>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</si>
  <si>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</si>
  <si>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</si>
  <si>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</si>
  <si>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</si>
  <si>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</si>
  <si>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</si>
  <si>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</si>
  <si>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</si>
  <si>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</si>
  <si>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</si>
  <si>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</si>
  <si>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</si>
  <si>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</si>
  <si>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</si>
  <si>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</si>
  <si>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</si>
  <si>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</si>
  <si>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</si>
  <si>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</si>
  <si>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</si>
  <si>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</si>
  <si>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</si>
  <si>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</si>
  <si>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</si>
  <si>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</si>
  <si>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</si>
  <si>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</si>
  <si>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</si>
  <si>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</si>
  <si>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</si>
  <si>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</si>
  <si>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</si>
  <si>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</si>
  <si>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</si>
  <si>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</si>
  <si>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</si>
  <si>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</si>
  <si>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</si>
  <si>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</si>
  <si>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</si>
  <si>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</si>
  <si>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</si>
  <si>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</si>
  <si>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</si>
  <si>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</si>
  <si>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</si>
  <si>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</si>
  <si>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</si>
  <si>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</si>
  <si>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</si>
  <si>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</si>
  <si>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</si>
  <si>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</si>
  <si>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</si>
  <si>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</si>
  <si>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</si>
  <si>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</si>
  <si>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</si>
  <si>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</si>
  <si>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</si>
  <si>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</si>
  <si>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</si>
  <si>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</si>
  <si>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</si>
  <si>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</si>
  <si>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</si>
  <si>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</si>
  <si>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</si>
  <si>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</si>
  <si>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</si>
  <si>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</si>
  <si>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</si>
  <si>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</si>
  <si>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</si>
  <si>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</si>
  <si>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</si>
  <si>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</si>
  <si>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</si>
  <si>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</si>
  <si>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</si>
  <si>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</si>
  <si>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</si>
  <si>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</si>
  <si>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</si>
  <si>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</si>
  <si>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</si>
  <si>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</si>
  <si>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</si>
  <si>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</si>
  <si>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</si>
  <si>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</si>
  <si>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</si>
  <si>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</si>
  <si>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</si>
  <si>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</si>
  <si>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</si>
  <si>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</si>
  <si>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</si>
  <si>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</si>
  <si>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</si>
  <si>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</si>
  <si>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</si>
  <si>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</si>
  <si>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</si>
  <si>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</si>
  <si>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</si>
  <si>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</si>
  <si>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</si>
  <si>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</si>
  <si>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</si>
  <si>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</si>
  <si>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</si>
  <si>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</si>
  <si>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</si>
  <si>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</si>
  <si>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</si>
  <si>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</si>
  <si>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</si>
  <si>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</si>
  <si>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</si>
  <si>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</si>
  <si>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</si>
  <si>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</si>
  <si>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</si>
  <si>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</si>
  <si>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</si>
  <si>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</si>
  <si>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</si>
  <si>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</si>
  <si>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</si>
  <si>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</si>
  <si>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</si>
  <si>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</si>
  <si>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</si>
  <si>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</si>
  <si>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</si>
  <si>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</si>
  <si>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</si>
  <si>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</si>
  <si>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</si>
  <si>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</si>
  <si>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</si>
  <si>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</si>
  <si>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</si>
  <si>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</si>
  <si>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</si>
  <si>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</si>
  <si>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</si>
  <si>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</si>
  <si>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</si>
  <si>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</si>
  <si>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</si>
  <si>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</si>
  <si>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</si>
  <si>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</si>
  <si>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</si>
  <si>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</si>
  <si>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</si>
  <si>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</si>
  <si>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</si>
  <si>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</si>
  <si>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</si>
  <si>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</si>
  <si>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</si>
  <si>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</si>
  <si>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</si>
  <si>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</si>
  <si>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</si>
  <si>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</si>
  <si>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</si>
  <si>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</si>
  <si>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</si>
  <si>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</si>
  <si>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</si>
  <si>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</si>
  <si>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</si>
  <si>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</si>
  <si>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</si>
  <si>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</si>
  <si>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</si>
  <si>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</si>
  <si>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</si>
  <si>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</si>
  <si>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</si>
  <si>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</si>
  <si>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</si>
  <si>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</si>
  <si>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</si>
  <si>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</si>
  <si>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</si>
  <si>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</si>
  <si>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</si>
  <si>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</si>
  <si>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</si>
  <si>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</si>
  <si>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</si>
  <si>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</si>
  <si>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</si>
  <si>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</si>
  <si>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</si>
  <si>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</si>
  <si>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</si>
  <si>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</si>
  <si>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</si>
  <si>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</si>
  <si>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</si>
  <si>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</si>
  <si>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</si>
  <si>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</si>
  <si>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</si>
  <si>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</si>
  <si>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</si>
  <si>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</si>
  <si>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</si>
  <si>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</si>
  <si>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</si>
  <si>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</si>
  <si>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</si>
  <si>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</si>
  <si>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</si>
  <si>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</si>
  <si>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</si>
  <si>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</si>
  <si>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</si>
  <si>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</si>
  <si>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</si>
  <si>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</si>
  <si>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</si>
  <si>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</si>
  <si>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</si>
  <si>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</si>
  <si>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</si>
  <si>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</si>
  <si>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</si>
  <si>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</si>
  <si>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</si>
  <si>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</si>
  <si>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</si>
  <si>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</si>
  <si>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</si>
  <si>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</si>
  <si>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</si>
  <si>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</si>
  <si>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</si>
  <si>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</si>
  <si>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</si>
  <si>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</si>
  <si>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</si>
  <si>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</si>
  <si>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</si>
  <si>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</si>
  <si>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</si>
  <si>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</si>
  <si>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</si>
  <si>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</si>
  <si>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</si>
  <si>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</si>
  <si>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</si>
  <si>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</si>
  <si>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</si>
  <si>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</si>
  <si>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</si>
  <si>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</si>
  <si>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</si>
  <si>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</si>
  <si>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</si>
  <si>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</si>
  <si>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</si>
  <si>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</si>
  <si>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</si>
  <si>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</si>
  <si>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</si>
  <si>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</si>
  <si>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</si>
  <si>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</si>
  <si>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</si>
  <si>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</si>
  <si>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</si>
  <si>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</si>
  <si>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</si>
  <si>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</si>
  <si>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</si>
  <si>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</si>
  <si>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</si>
  <si>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</si>
  <si>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</si>
  <si>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</si>
  <si>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</si>
  <si>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</si>
  <si>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</si>
  <si>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</si>
  <si>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</si>
  <si>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</si>
  <si>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</si>
  <si>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</si>
  <si>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</si>
  <si>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</si>
  <si>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</si>
  <si>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</si>
  <si>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</si>
  <si>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</si>
  <si>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</si>
  <si>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</si>
  <si>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</si>
  <si>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</si>
  <si>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</si>
  <si>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</si>
  <si>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</si>
  <si>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</si>
  <si>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</si>
  <si>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</si>
  <si>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</si>
  <si>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</si>
  <si>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</si>
  <si>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</si>
  <si>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</si>
  <si>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</si>
  <si>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</si>
  <si>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</si>
  <si>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</si>
  <si>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</si>
  <si>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</si>
  <si>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</si>
  <si>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</si>
  <si>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</si>
  <si>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</si>
  <si>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</si>
  <si>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</si>
  <si>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</si>
  <si>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</si>
  <si>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</si>
  <si>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</si>
  <si>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</si>
  <si>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</si>
  <si>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</si>
  <si>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</si>
  <si>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</si>
  <si>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</si>
  <si>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</si>
  <si>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</si>
  <si>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</si>
  <si>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</si>
  <si>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</si>
  <si>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</si>
  <si>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</si>
  <si>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</si>
  <si>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</si>
  <si>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</si>
  <si>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</si>
  <si>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</si>
  <si>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</si>
  <si>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</si>
  <si>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</si>
  <si>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</si>
  <si>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</si>
  <si>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</si>
  <si>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</si>
  <si>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</si>
  <si>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</si>
  <si>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</si>
  <si>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</si>
  <si>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</si>
  <si>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</si>
  <si>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</si>
  <si>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</si>
  <si>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</si>
  <si>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</si>
  <si>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</si>
  <si>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</si>
  <si>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</si>
  <si>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</si>
  <si>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</si>
  <si>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</si>
  <si>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</si>
  <si>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</si>
  <si>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</si>
  <si>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</si>
  <si>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</si>
  <si>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</si>
  <si>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</si>
  <si>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</si>
  <si>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</si>
  <si>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</si>
  <si>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</si>
  <si>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</si>
  <si>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</si>
  <si>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</si>
  <si>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</si>
  <si>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</si>
  <si>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</si>
  <si>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</si>
  <si>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</si>
  <si>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</si>
  <si>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</si>
  <si>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</si>
  <si>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</si>
  <si>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</si>
  <si>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</si>
  <si>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</si>
  <si>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</si>
  <si>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</si>
  <si>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</si>
  <si>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</si>
  <si>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</si>
  <si>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</si>
  <si>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</si>
  <si>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</si>
  <si>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</si>
  <si>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</si>
  <si>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</si>
  <si>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</si>
  <si>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</si>
  <si>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</si>
  <si>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</si>
  <si>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</si>
  <si>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</si>
  <si>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</si>
  <si>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</si>
  <si>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</si>
  <si>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</si>
  <si>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</si>
  <si>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</si>
  <si>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</si>
  <si>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</si>
  <si>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</si>
  <si>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</si>
  <si>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</si>
  <si>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</si>
  <si>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</si>
  <si>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</si>
  <si>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</si>
  <si>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</si>
  <si>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</si>
  <si>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</si>
  <si>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</si>
  <si>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</si>
  <si>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</si>
  <si>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</si>
  <si>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</si>
  <si>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</si>
  <si>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</si>
  <si>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</si>
  <si>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</si>
  <si>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</si>
  <si>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</si>
  <si>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</si>
  <si>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</si>
  <si>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</si>
  <si>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</si>
  <si>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</si>
  <si>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</si>
  <si>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</si>
  <si>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</si>
  <si>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</si>
  <si>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</si>
  <si>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</si>
  <si>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</si>
  <si>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</si>
  <si>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</si>
  <si>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</si>
  <si>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</si>
  <si>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</si>
  <si>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</si>
  <si>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</si>
  <si>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</si>
  <si>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</si>
  <si>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</si>
  <si>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</si>
  <si>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</si>
  <si>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</si>
  <si>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</si>
  <si>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</si>
  <si>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</si>
  <si>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</si>
  <si>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</si>
  <si>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</si>
  <si>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</si>
  <si>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</si>
  <si>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</si>
  <si>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</si>
  <si>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</si>
  <si>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</si>
  <si>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</si>
  <si>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</si>
  <si>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</si>
  <si>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</si>
  <si>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</si>
  <si>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</si>
  <si>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</si>
  <si>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</si>
  <si>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</si>
  <si>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</si>
  <si>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</si>
  <si>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</si>
  <si>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</si>
  <si>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</si>
  <si>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</si>
  <si>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</si>
  <si>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</si>
  <si>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</si>
  <si>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</si>
  <si>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</si>
  <si>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</si>
  <si>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</si>
  <si>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</si>
  <si>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</si>
  <si>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</si>
  <si>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</si>
  <si>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</si>
  <si>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</si>
  <si>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</si>
  <si>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</si>
  <si>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</si>
  <si>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</si>
  <si>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</si>
  <si>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</si>
  <si>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</si>
  <si>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</si>
  <si>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</si>
  <si>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</si>
  <si>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</si>
  <si>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</si>
  <si>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</si>
  <si>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</si>
  <si>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</si>
  <si>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</si>
  <si>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</si>
  <si>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</si>
  <si>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</si>
  <si>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</si>
  <si>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</si>
  <si>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</si>
  <si>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</si>
  <si>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</si>
  <si>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</si>
  <si>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</si>
  <si>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</si>
  <si>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</si>
  <si>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</si>
  <si>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</si>
  <si>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</si>
  <si>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</si>
  <si>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</si>
  <si>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</si>
  <si>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</si>
  <si>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</si>
  <si>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</si>
  <si>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</si>
  <si>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</si>
  <si>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</si>
  <si>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</si>
  <si>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</si>
  <si>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</si>
  <si>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</si>
  <si>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</si>
  <si>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</si>
  <si>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</si>
  <si>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</si>
  <si>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</si>
  <si>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</si>
  <si>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</si>
  <si>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</si>
  <si>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</si>
  <si>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</si>
  <si>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</si>
  <si>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</si>
  <si>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</si>
  <si>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</si>
  <si>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</si>
  <si>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</si>
  <si>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</si>
  <si>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</si>
  <si>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</si>
  <si>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</si>
  <si>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</si>
  <si>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</si>
  <si>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</si>
  <si>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</si>
  <si>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</si>
  <si>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</si>
  <si>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</si>
  <si>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</si>
  <si>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</si>
  <si>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</si>
  <si>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</si>
  <si>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</si>
  <si>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</si>
  <si>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</si>
  <si>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</si>
  <si>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</si>
  <si>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</si>
  <si>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</si>
  <si>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</si>
  <si>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</si>
  <si>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</si>
  <si>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</si>
  <si>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</si>
  <si>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</si>
  <si>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</si>
  <si>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</si>
  <si>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</si>
  <si>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</si>
  <si>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</si>
  <si>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</si>
  <si>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</si>
  <si>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</si>
  <si>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</si>
  <si>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</si>
  <si>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</si>
  <si>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</si>
  <si>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</si>
  <si>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</si>
  <si>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</si>
  <si>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</si>
  <si>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</si>
  <si>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</si>
  <si>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</si>
  <si>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</si>
  <si>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</si>
  <si>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</si>
  <si>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</si>
  <si>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</si>
  <si>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</si>
  <si>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</si>
  <si>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</si>
  <si>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</si>
  <si>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</si>
  <si>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</si>
  <si>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</si>
  <si>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</si>
  <si>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</si>
  <si>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</si>
  <si>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</si>
  <si>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</si>
  <si>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</si>
  <si>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</si>
  <si>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</si>
  <si>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</si>
  <si>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</si>
  <si>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</si>
  <si>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</si>
  <si>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</si>
  <si>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</si>
  <si>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</si>
  <si>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</si>
  <si>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</si>
  <si>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</si>
  <si>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</si>
  <si>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</si>
  <si>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</si>
  <si>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</si>
  <si>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</si>
  <si>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</si>
  <si>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</si>
  <si>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</si>
  <si>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</si>
  <si>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</si>
  <si>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</si>
  <si>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</si>
  <si>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</si>
  <si>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</si>
  <si>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</si>
  <si>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</si>
  <si>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</si>
  <si>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</si>
  <si>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</si>
  <si>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</si>
  <si>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</si>
  <si>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</si>
  <si>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</si>
  <si>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</si>
  <si>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</si>
  <si>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</si>
  <si>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</si>
  <si>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</si>
  <si>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</si>
  <si>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</si>
  <si>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</si>
  <si>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</si>
  <si>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</si>
  <si>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</si>
  <si>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</si>
  <si>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</si>
  <si>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</si>
  <si>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</si>
  <si>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</si>
  <si>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</si>
  <si>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</si>
  <si>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</si>
  <si>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</si>
  <si>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</si>
  <si>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</si>
  <si>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</si>
  <si>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</si>
  <si>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</si>
  <si>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</si>
  <si>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</si>
  <si>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</si>
  <si>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</si>
  <si>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</si>
  <si>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</si>
  <si>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</si>
  <si>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</si>
  <si>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</si>
  <si>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</si>
  <si>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</si>
  <si>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</si>
  <si>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</si>
  <si>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</si>
  <si>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</si>
  <si>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</si>
  <si>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</si>
  <si>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</si>
  <si>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</si>
  <si>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</si>
  <si>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</si>
  <si>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</si>
  <si>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</si>
  <si>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</si>
  <si>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</si>
  <si>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</si>
  <si>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</si>
  <si>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</si>
  <si>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</si>
  <si>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</si>
  <si>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</si>
  <si>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</si>
  <si>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</si>
  <si>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</si>
  <si>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</si>
  <si>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</si>
  <si>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</si>
  <si>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</si>
  <si>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</si>
  <si>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</si>
  <si>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</si>
  <si>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</si>
  <si>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</si>
  <si>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</si>
  <si>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</si>
  <si>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</si>
  <si>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</si>
  <si>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</si>
  <si>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</si>
  <si>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</si>
  <si>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</si>
  <si>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</si>
  <si>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</si>
  <si>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</si>
  <si>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</si>
  <si>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</si>
  <si>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</si>
  <si>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</si>
  <si>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</si>
  <si>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</si>
  <si>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</si>
  <si>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</si>
  <si>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</si>
  <si>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</si>
  <si>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</si>
  <si>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</si>
  <si>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</si>
  <si>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</si>
  <si>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</si>
  <si>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</si>
  <si>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</si>
  <si>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</si>
  <si>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</si>
  <si>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</si>
  <si>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</si>
  <si>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</si>
  <si>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</si>
  <si>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</si>
  <si>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</si>
  <si>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</si>
  <si>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</si>
  <si>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</si>
  <si>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</si>
  <si>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</si>
  <si>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</si>
  <si>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</si>
  <si>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</si>
  <si>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</si>
  <si>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</si>
  <si>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</si>
  <si>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</si>
  <si>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</si>
  <si>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</si>
  <si>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</si>
  <si>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</si>
  <si>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</si>
  <si>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</si>
  <si>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</si>
  <si>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</si>
  <si>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</si>
  <si>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</si>
  <si>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</si>
  <si>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</si>
  <si>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</si>
  <si>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</si>
  <si>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</si>
  <si>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</si>
  <si>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</si>
  <si>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</si>
  <si>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</si>
  <si>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</si>
  <si>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</si>
  <si>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</si>
  <si>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</si>
  <si>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</si>
  <si>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</si>
  <si>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</si>
  <si>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</si>
  <si>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</si>
  <si>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</si>
  <si>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</si>
  <si>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</si>
  <si>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</si>
  <si>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</si>
  <si>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</si>
  <si>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</si>
  <si>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</si>
  <si>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</si>
  <si>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</si>
  <si>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</si>
  <si>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</si>
  <si>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</si>
  <si>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</si>
  <si>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</si>
  <si>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</si>
  <si>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</si>
  <si>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</si>
  <si>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</si>
  <si>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</si>
  <si>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</si>
  <si>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</si>
  <si>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</si>
  <si>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</si>
  <si>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</si>
  <si>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</si>
  <si>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</si>
  <si>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</si>
  <si>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</si>
  <si>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</si>
  <si>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</si>
  <si>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</si>
  <si>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</si>
  <si>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</si>
  <si>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</si>
  <si>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</si>
  <si>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</si>
  <si>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</si>
  <si>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</si>
  <si>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</si>
  <si>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</si>
  <si>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</si>
  <si>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</si>
  <si>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</si>
  <si>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</si>
  <si>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</si>
  <si>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</si>
  <si>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</si>
  <si>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</si>
  <si>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</si>
  <si>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</si>
  <si>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</si>
  <si>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</si>
  <si>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</si>
  <si>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</si>
  <si>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</si>
  <si>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</si>
  <si>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</si>
  <si>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</si>
  <si>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</si>
  <si>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</si>
  <si>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</si>
  <si>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</si>
  <si>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</si>
  <si>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</si>
  <si>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</si>
  <si>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</si>
  <si>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</si>
  <si>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</si>
  <si>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</si>
  <si>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</si>
  <si>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</si>
  <si>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</si>
  <si>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</si>
  <si>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</si>
  <si>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</si>
  <si>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</si>
  <si>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</si>
  <si>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</si>
  <si>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</si>
  <si>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</si>
  <si>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</si>
  <si>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</si>
  <si>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</si>
  <si>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</si>
  <si>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</si>
  <si>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</si>
  <si>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</si>
  <si>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</si>
  <si>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</si>
  <si>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</si>
  <si>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</si>
  <si>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</si>
  <si>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</si>
  <si>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</si>
  <si>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</si>
  <si>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</si>
  <si>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</si>
  <si>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</si>
  <si>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</si>
  <si>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</si>
  <si>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</si>
  <si>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</si>
  <si>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</si>
  <si>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</si>
  <si>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</si>
  <si>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</si>
  <si>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</si>
  <si>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</si>
  <si>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</si>
  <si>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</si>
  <si>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</si>
  <si>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</si>
  <si>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</si>
  <si>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</si>
  <si>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</si>
  <si>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</si>
  <si>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</si>
  <si>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</si>
  <si>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</si>
  <si>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</si>
  <si>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</si>
  <si>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</si>
  <si>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</si>
  <si>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</si>
  <si>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</si>
  <si>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</si>
  <si>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</si>
  <si>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</si>
  <si>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</si>
  <si>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</si>
  <si>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</si>
  <si>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</si>
  <si>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</si>
  <si>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</si>
  <si>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</si>
  <si>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</si>
  <si>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</si>
  <si>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</si>
  <si>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</si>
  <si>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</si>
  <si>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</si>
  <si>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</si>
  <si>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</si>
  <si>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</si>
  <si>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</si>
  <si>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</si>
  <si>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</si>
  <si>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</si>
  <si>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</si>
  <si>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</si>
  <si>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</si>
  <si>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</si>
  <si>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</si>
  <si>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</si>
  <si>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</si>
  <si>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</si>
  <si>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</si>
  <si>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</si>
  <si>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</si>
  <si>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</si>
  <si>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</si>
  <si>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</si>
  <si>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</si>
  <si>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</si>
  <si>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</si>
  <si>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</si>
  <si>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</si>
  <si>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</si>
  <si>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</si>
  <si>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</si>
  <si>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</si>
  <si>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</si>
  <si>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</si>
  <si>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</si>
  <si>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</si>
  <si>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</si>
  <si>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</si>
  <si>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</si>
  <si>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</si>
  <si>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</si>
  <si>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</si>
  <si>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</si>
  <si>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</si>
  <si>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</si>
  <si>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</si>
  <si>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</si>
  <si>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</si>
  <si>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</si>
  <si>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</si>
  <si>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</si>
  <si>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</si>
  <si>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</si>
  <si>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</si>
  <si>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</si>
  <si>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</si>
  <si>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</si>
  <si>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</si>
  <si>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</si>
  <si>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</si>
  <si>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</si>
  <si>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</si>
  <si>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</si>
  <si>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</si>
  <si>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</si>
  <si>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</si>
  <si>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</si>
  <si>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</si>
  <si>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</si>
  <si>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</si>
  <si>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</si>
  <si>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</si>
  <si>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</si>
  <si>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</si>
  <si>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</si>
  <si>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</si>
  <si>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</si>
  <si>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</si>
  <si>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</si>
  <si>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</si>
  <si>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</si>
  <si>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</si>
  <si>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</si>
  <si>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</si>
  <si>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</si>
  <si>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</si>
  <si>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</si>
  <si>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</si>
  <si>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</si>
  <si>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</si>
  <si>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</si>
  <si>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</si>
  <si>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</si>
  <si>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</si>
  <si>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</si>
  <si>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</si>
  <si>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</si>
  <si>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</si>
  <si>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</si>
  <si>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</si>
  <si>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</si>
  <si>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</si>
  <si>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</si>
  <si>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</si>
  <si>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</si>
  <si>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</si>
  <si>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</si>
  <si>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</si>
  <si>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</si>
  <si>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</si>
  <si>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</si>
  <si>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</si>
  <si>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</si>
  <si>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</si>
  <si>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</si>
  <si>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</si>
  <si>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</si>
  <si>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</si>
  <si>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</si>
  <si>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</si>
  <si>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</si>
  <si>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</si>
  <si>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</si>
  <si>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</si>
  <si>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</si>
  <si>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</si>
  <si>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</si>
  <si>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</si>
  <si>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</si>
  <si>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</si>
  <si>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</si>
  <si>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</si>
  <si>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</si>
  <si>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</si>
  <si>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</si>
  <si>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</si>
  <si>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</si>
  <si>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</si>
  <si>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</si>
  <si>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</si>
  <si>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</si>
  <si>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</si>
  <si>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</si>
  <si>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</si>
  <si>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</si>
  <si>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</si>
  <si>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</si>
  <si>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</si>
  <si>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</si>
  <si>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</si>
  <si>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</si>
  <si>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</si>
  <si>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</si>
  <si>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</si>
  <si>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</si>
  <si>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</si>
  <si>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</si>
  <si>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</si>
  <si>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</si>
  <si>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</si>
  <si>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</si>
  <si>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</si>
  <si>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</si>
  <si>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</si>
  <si>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</si>
  <si>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</si>
  <si>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</si>
  <si>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</si>
  <si>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</si>
  <si>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</si>
  <si>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</si>
  <si>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</si>
  <si>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</si>
  <si>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</si>
  <si>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</si>
  <si>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</si>
  <si>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</si>
  <si>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</si>
  <si>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</si>
  <si>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</si>
  <si>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</si>
  <si>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</si>
  <si>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</si>
  <si>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</si>
  <si>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</si>
  <si>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</si>
  <si>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</si>
  <si>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</si>
  <si>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</si>
  <si>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</si>
  <si>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</si>
  <si>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</si>
  <si>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</si>
  <si>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</si>
  <si>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</si>
  <si>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</si>
  <si>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</si>
  <si>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</si>
  <si>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</si>
  <si>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</si>
  <si>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</si>
  <si>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</si>
  <si>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</si>
  <si>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</si>
  <si>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</si>
  <si>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</si>
  <si>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</si>
  <si>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</si>
  <si>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</si>
  <si>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</si>
  <si>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</si>
  <si>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</si>
  <si>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</si>
  <si>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</si>
  <si>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</si>
  <si>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</si>
  <si>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</si>
  <si>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</si>
  <si>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</si>
  <si>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</si>
  <si>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</si>
  <si>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</si>
  <si>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</si>
  <si>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</si>
  <si>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</si>
  <si>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</si>
  <si>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</si>
  <si>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</si>
  <si>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</si>
  <si>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</si>
  <si>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</si>
  <si>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</si>
  <si>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</si>
  <si>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</si>
  <si>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</si>
  <si>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</si>
  <si>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</si>
  <si>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</si>
  <si>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</si>
  <si>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</si>
  <si>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</si>
  <si>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</si>
  <si>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</si>
  <si>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</si>
  <si>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</si>
  <si>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</si>
  <si>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</si>
  <si>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</si>
  <si>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</si>
  <si>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</si>
  <si>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</si>
  <si>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</si>
  <si>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</si>
  <si>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</si>
  <si>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</si>
  <si>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</si>
  <si>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</si>
  <si>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</si>
  <si>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</si>
  <si>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</si>
  <si>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</si>
  <si>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</si>
  <si>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</si>
  <si>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</si>
  <si>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</si>
  <si>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</si>
  <si>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</si>
  <si>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</si>
  <si>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</si>
  <si>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</si>
  <si>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</si>
  <si>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</si>
  <si>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</si>
  <si>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</si>
  <si>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</si>
  <si>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</si>
  <si>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</si>
  <si>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</si>
  <si>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</si>
  <si>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</si>
  <si>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</si>
  <si>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</si>
  <si>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</si>
  <si>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</si>
  <si>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</si>
  <si>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</si>
  <si>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</si>
  <si>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</si>
  <si>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</si>
  <si>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</si>
  <si>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</si>
  <si>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</si>
  <si>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</si>
  <si>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</si>
  <si>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</si>
  <si>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</si>
  <si>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</si>
  <si>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</si>
  <si>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</si>
  <si>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</si>
  <si>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</si>
  <si>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</si>
  <si>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</si>
  <si>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</si>
  <si>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</si>
  <si>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</si>
  <si>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</si>
  <si>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</si>
  <si>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</si>
  <si>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</si>
  <si>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</si>
  <si>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</si>
  <si>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</si>
  <si>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</si>
  <si>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</si>
  <si>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</si>
  <si>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</si>
  <si>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</si>
  <si>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</si>
  <si>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</si>
  <si>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</si>
  <si>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</si>
  <si>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</si>
  <si>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</si>
  <si>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</si>
  <si>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</si>
  <si>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</si>
  <si>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</si>
  <si>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</si>
  <si>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</si>
  <si>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</si>
  <si>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</si>
  <si>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</si>
  <si>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</si>
  <si>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</si>
  <si>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</si>
  <si>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</si>
  <si>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</si>
  <si>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</si>
  <si>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</si>
  <si>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</si>
  <si>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</si>
  <si>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</si>
  <si>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</si>
  <si>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</si>
  <si>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</si>
  <si>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</si>
  <si>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</si>
  <si>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</si>
  <si>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</si>
  <si>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</si>
  <si>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</si>
  <si>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</si>
  <si>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</si>
  <si>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</si>
  <si>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</si>
  <si>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</si>
  <si>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</si>
  <si>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</si>
  <si>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</si>
  <si>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</si>
  <si>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</si>
  <si>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</si>
  <si>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</si>
  <si>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</si>
  <si>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</si>
  <si>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</si>
  <si>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</si>
  <si>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</si>
  <si>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</si>
  <si>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</si>
  <si>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</si>
  <si>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</si>
  <si>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</si>
  <si>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</si>
  <si>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</si>
  <si>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</si>
  <si>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</si>
  <si>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</si>
  <si>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</si>
  <si>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</si>
  <si>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</si>
  <si>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</si>
  <si>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</si>
  <si>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</si>
  <si>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</si>
  <si>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</si>
  <si>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</si>
  <si>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</si>
  <si>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</si>
  <si>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</si>
  <si>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</si>
  <si>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</si>
  <si>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</si>
  <si>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</si>
  <si>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</si>
  <si>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</si>
  <si>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</si>
  <si>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</si>
  <si>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</si>
  <si>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</si>
  <si>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</si>
  <si>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</si>
  <si>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</si>
  <si>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</si>
  <si>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</si>
  <si>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</si>
  <si>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</si>
  <si>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</si>
  <si>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</si>
  <si>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</si>
  <si>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</si>
  <si>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</si>
  <si>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</si>
  <si>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</si>
  <si>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</si>
  <si>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</si>
  <si>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</si>
  <si>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</si>
  <si>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</si>
  <si>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</si>
  <si>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</si>
  <si>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</si>
  <si>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</si>
  <si>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</si>
  <si>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</si>
  <si>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</si>
  <si>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</si>
  <si>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</si>
  <si>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</si>
  <si>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</si>
  <si>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</si>
  <si>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</si>
  <si>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</si>
  <si>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</si>
  <si>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</si>
  <si>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</si>
  <si>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</si>
  <si>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</si>
  <si>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</si>
  <si>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</si>
  <si>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</si>
  <si>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</si>
  <si>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</si>
  <si>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</si>
  <si>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</si>
  <si>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</si>
  <si>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</si>
  <si>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</si>
  <si>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</si>
  <si>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</si>
  <si>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</si>
  <si>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</si>
  <si>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</si>
  <si>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</si>
  <si>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</si>
  <si>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</si>
  <si>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</si>
  <si>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</si>
  <si>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</si>
  <si>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</si>
  <si>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</si>
  <si>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</si>
  <si>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</si>
  <si>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</si>
  <si>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</si>
  <si>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</si>
  <si>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</si>
  <si>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</si>
  <si>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</si>
  <si>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</si>
  <si>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</si>
  <si>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</si>
  <si>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</si>
  <si>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</si>
  <si>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</si>
  <si>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</si>
  <si>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</si>
  <si>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</si>
  <si>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</si>
  <si>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</si>
  <si>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</si>
  <si>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</si>
  <si>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</si>
  <si>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</si>
  <si>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</si>
  <si>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</si>
  <si>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</si>
  <si>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</si>
  <si>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</si>
  <si>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</si>
  <si>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</si>
  <si>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</si>
  <si>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</si>
  <si>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</si>
  <si>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</si>
  <si>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</si>
  <si>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</si>
  <si>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</si>
  <si>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</si>
  <si>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</si>
  <si>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</si>
  <si>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</si>
  <si>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</si>
  <si>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</si>
  <si>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</si>
  <si>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</si>
  <si>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</si>
  <si>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</si>
  <si>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</si>
  <si>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</si>
  <si>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</si>
  <si>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</si>
  <si>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</si>
  <si>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</si>
  <si>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</si>
  <si>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</si>
  <si>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</si>
  <si>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</si>
  <si>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</si>
  <si>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</si>
  <si>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</si>
  <si>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</si>
  <si>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</si>
  <si>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</si>
  <si>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</si>
  <si>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</si>
  <si>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</si>
  <si>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</si>
  <si>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</si>
  <si>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</si>
  <si>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</si>
  <si>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</si>
  <si>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</si>
  <si>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</si>
  <si>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</si>
  <si>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</si>
  <si>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</si>
  <si>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</si>
  <si>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</si>
  <si>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</si>
  <si>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</si>
  <si>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</si>
  <si>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</si>
  <si>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</si>
  <si>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</si>
  <si>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</si>
  <si>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</si>
  <si>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</si>
  <si>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</si>
  <si>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</si>
  <si>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</si>
  <si>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</si>
  <si>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</si>
  <si>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</si>
  <si>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</si>
  <si>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</si>
  <si>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</si>
  <si>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</si>
  <si>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</si>
  <si>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</si>
  <si>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</si>
  <si>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</si>
  <si>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</si>
  <si>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</si>
  <si>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</si>
  <si>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</si>
  <si>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</si>
  <si>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</si>
  <si>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</si>
  <si>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</si>
  <si>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</si>
  <si>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</si>
  <si>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</si>
  <si>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</si>
  <si>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</si>
  <si>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</si>
  <si>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</si>
  <si>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</si>
  <si>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</si>
  <si>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</si>
  <si>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</si>
  <si>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</si>
  <si>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</si>
  <si>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</si>
  <si>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</si>
  <si>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</si>
  <si>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</si>
  <si>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</si>
  <si>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</si>
  <si>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</si>
  <si>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</si>
  <si>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</si>
  <si>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</si>
  <si>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</si>
  <si>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</si>
  <si>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</si>
  <si>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</si>
  <si>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</si>
  <si>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</si>
  <si>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</si>
  <si>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</si>
  <si>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</si>
  <si>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</si>
  <si>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</si>
  <si>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</si>
  <si>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</si>
  <si>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</si>
  <si>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</si>
  <si>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</si>
  <si>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</si>
  <si>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</si>
  <si>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</si>
  <si>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</si>
  <si>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</si>
  <si>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</si>
  <si>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</si>
  <si>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</si>
  <si>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</si>
  <si>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</si>
  <si>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</si>
  <si>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</si>
  <si>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</si>
  <si>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</si>
  <si>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</si>
  <si>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</si>
  <si>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</si>
  <si>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</si>
  <si>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</si>
  <si>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</si>
  <si>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</si>
  <si>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</si>
  <si>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</si>
  <si>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</si>
  <si>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</si>
  <si>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</si>
  <si>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</si>
  <si>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</si>
  <si>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</si>
  <si>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</si>
  <si>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</si>
  <si>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</si>
  <si>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</si>
  <si>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</si>
  <si>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</si>
  <si>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</si>
  <si>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</si>
  <si>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</si>
  <si>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</si>
  <si>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</si>
  <si>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</si>
  <si>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</si>
  <si>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</si>
  <si>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</si>
  <si>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</si>
  <si>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</si>
  <si>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</si>
  <si>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</si>
  <si>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</si>
  <si>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</si>
  <si>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</si>
  <si>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</si>
  <si>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</si>
  <si>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</si>
  <si>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</si>
  <si>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</si>
  <si>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</si>
  <si>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</si>
  <si>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</si>
  <si>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</si>
  <si>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</si>
  <si>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</si>
  <si>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</si>
  <si>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</si>
  <si>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</si>
  <si>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</si>
  <si>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</si>
  <si>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</si>
  <si>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</si>
  <si>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</si>
  <si>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</si>
  <si>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</si>
  <si>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</si>
  <si>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</si>
  <si>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</si>
  <si>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</si>
  <si>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</si>
  <si>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</si>
  <si>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</si>
  <si>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</si>
  <si>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</si>
  <si>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</si>
  <si>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</si>
  <si>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</si>
  <si>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</si>
  <si>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</si>
  <si>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</si>
  <si>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</si>
  <si>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</si>
  <si>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</si>
  <si>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</si>
  <si>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</si>
  <si>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</si>
  <si>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</si>
  <si>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</si>
  <si>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</si>
  <si>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</si>
  <si>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</si>
  <si>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</si>
  <si>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</si>
  <si>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</si>
  <si>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</si>
  <si>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</si>
  <si>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</si>
  <si>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</si>
  <si>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</si>
  <si>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</si>
  <si>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</si>
  <si>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</si>
  <si>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</si>
  <si>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</si>
  <si>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</si>
  <si>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</si>
  <si>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</si>
  <si>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</si>
  <si>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</si>
  <si>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</si>
  <si>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</si>
  <si>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</si>
  <si>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</si>
  <si>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</si>
  <si>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</si>
  <si>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</si>
  <si>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</si>
  <si>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</si>
  <si>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</si>
  <si>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</si>
  <si>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</si>
  <si>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</si>
  <si>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</si>
  <si>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</si>
  <si>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</si>
  <si>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</si>
  <si>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</si>
  <si>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</si>
  <si>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</si>
  <si>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</si>
  <si>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</si>
  <si>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</si>
  <si>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</si>
  <si>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</si>
  <si>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</si>
  <si>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</si>
  <si>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</si>
  <si>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</si>
  <si>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</si>
  <si>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</si>
  <si>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</si>
  <si>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</si>
  <si>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</si>
  <si>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</si>
  <si>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</si>
  <si>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</si>
  <si>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</si>
  <si>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</si>
  <si>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</si>
  <si>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</si>
  <si>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</si>
  <si>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</si>
  <si>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</si>
  <si>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</si>
  <si>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</si>
  <si>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</si>
  <si>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</si>
  <si>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</si>
  <si>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</si>
  <si>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</si>
  <si>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</si>
  <si>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</si>
  <si>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</si>
  <si>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</si>
  <si>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</si>
  <si>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</si>
  <si>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</si>
  <si>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</si>
  <si>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</si>
  <si>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</si>
  <si>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</si>
  <si>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</si>
  <si>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</si>
  <si>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</si>
  <si>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</si>
  <si>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</si>
  <si>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</si>
  <si>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</si>
  <si>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</si>
  <si>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</si>
  <si>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</si>
  <si>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</si>
  <si>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</si>
  <si>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</si>
  <si>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</si>
  <si>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</si>
  <si>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</si>
  <si>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</si>
  <si>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</si>
  <si>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</si>
  <si>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</si>
  <si>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</si>
  <si>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</si>
  <si>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</si>
  <si>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</si>
  <si>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</si>
  <si>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</si>
  <si>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</si>
  <si>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</si>
  <si>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</si>
  <si>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</si>
  <si>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</si>
  <si>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</si>
  <si>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</si>
  <si>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</si>
  <si>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</si>
  <si>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</si>
  <si>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</si>
  <si>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</si>
  <si>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</si>
  <si>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</si>
  <si>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</si>
  <si>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</si>
  <si>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</si>
  <si>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</si>
  <si>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</si>
  <si>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</si>
  <si>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</si>
  <si>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</si>
  <si>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</si>
  <si>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</si>
  <si>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</si>
  <si>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</si>
  <si>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</si>
  <si>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</si>
  <si>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</si>
  <si>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</si>
  <si>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</si>
  <si>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</si>
  <si>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</si>
  <si>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</si>
  <si>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</si>
  <si>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</si>
  <si>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</si>
  <si>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</si>
  <si>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</si>
  <si>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</si>
  <si>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</si>
  <si>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</si>
  <si>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</si>
  <si>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</si>
  <si>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</si>
  <si>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</si>
  <si>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</si>
  <si>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</si>
  <si>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</si>
  <si>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</si>
  <si>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</si>
  <si>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</si>
  <si>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</si>
  <si>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</si>
  <si>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</si>
  <si>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</si>
  <si>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</si>
  <si>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</si>
  <si>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</si>
  <si>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</si>
  <si>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</si>
  <si>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</si>
  <si>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</si>
  <si>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</si>
  <si>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</si>
  <si>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</si>
  <si>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</si>
  <si>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</si>
  <si>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</si>
  <si>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</si>
  <si>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</si>
  <si>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</si>
  <si>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</si>
  <si>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</si>
  <si>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</si>
  <si>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</si>
  <si>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</si>
  <si>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</si>
  <si>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</si>
  <si>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</si>
  <si>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</si>
  <si>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</si>
  <si>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</si>
  <si>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</si>
  <si>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</si>
  <si>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</si>
  <si>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</si>
  <si>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</si>
  <si>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</si>
  <si>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</si>
  <si>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</si>
  <si>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</si>
  <si>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</si>
  <si>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</si>
  <si>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</si>
  <si>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</si>
  <si>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</si>
  <si>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</si>
  <si>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</si>
  <si>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</si>
  <si>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</si>
  <si>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</si>
  <si>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</si>
  <si>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</si>
  <si>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</si>
  <si>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</si>
  <si>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</si>
  <si>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</si>
  <si>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</si>
  <si>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</si>
  <si>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</si>
  <si>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</si>
  <si>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</si>
  <si>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</si>
  <si>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</si>
  <si>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</si>
  <si>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</si>
  <si>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</si>
  <si>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</si>
  <si>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</si>
  <si>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</si>
  <si>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</si>
  <si>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</si>
  <si>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</si>
  <si>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</si>
  <si>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</si>
  <si>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</si>
  <si>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</si>
  <si>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</si>
  <si>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</si>
  <si>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</si>
  <si>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</si>
  <si>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</si>
  <si>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</si>
  <si>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</si>
  <si>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</si>
  <si>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</si>
  <si>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</si>
  <si>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</si>
  <si>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</si>
  <si>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</si>
  <si>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</si>
  <si>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</si>
  <si>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</si>
  <si>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</si>
  <si>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</si>
  <si>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</si>
  <si>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</si>
  <si>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</si>
  <si>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</si>
  <si>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</si>
  <si>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</si>
  <si>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</si>
  <si>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</si>
  <si>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</si>
  <si>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</si>
  <si>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</si>
  <si>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</si>
  <si>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</si>
  <si>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</si>
  <si>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</si>
  <si>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</si>
  <si>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</si>
  <si>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</si>
  <si>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</si>
  <si>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</si>
  <si>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</si>
  <si>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</si>
  <si>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</si>
  <si>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</si>
  <si>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</si>
  <si>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</si>
  <si>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</si>
  <si>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</si>
  <si>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</si>
  <si>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</si>
  <si>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</si>
  <si>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</si>
  <si>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</si>
  <si>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</si>
  <si>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</si>
  <si>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</si>
  <si>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</si>
  <si>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</si>
  <si>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</si>
  <si>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</si>
  <si>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</si>
  <si>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</si>
  <si>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</si>
  <si>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</si>
  <si>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</si>
  <si>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</si>
  <si>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</si>
  <si>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</si>
  <si>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</si>
  <si>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</si>
  <si>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</si>
  <si>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</si>
  <si>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</si>
  <si>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</si>
  <si>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</si>
  <si>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</si>
  <si>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</si>
  <si>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</si>
  <si>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</si>
  <si>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</si>
  <si>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</si>
  <si>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</si>
  <si>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</si>
  <si>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</si>
  <si>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</si>
  <si>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</si>
  <si>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</si>
  <si>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</si>
  <si>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</si>
  <si>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</si>
  <si>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</si>
  <si>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</si>
  <si>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</si>
  <si>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</si>
  <si>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</si>
  <si>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</si>
  <si>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</si>
  <si>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</si>
  <si>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</si>
  <si>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</si>
  <si>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</si>
  <si>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</si>
  <si>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</si>
  <si>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</si>
  <si>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</si>
  <si>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</si>
  <si>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</si>
  <si>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</si>
  <si>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</si>
  <si>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</si>
  <si>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</si>
  <si>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</si>
  <si>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</si>
  <si>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</si>
  <si>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</si>
  <si>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</si>
  <si>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</si>
  <si>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</si>
  <si>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</si>
  <si>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</si>
  <si>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</si>
  <si>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</si>
  <si>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</si>
  <si>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</si>
  <si>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</si>
  <si>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</si>
  <si>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</si>
  <si>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</si>
  <si>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</si>
  <si>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</si>
  <si>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</si>
  <si>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</si>
  <si>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</si>
  <si>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</si>
  <si>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</si>
  <si>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</si>
  <si>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</si>
  <si>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</si>
  <si>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</si>
  <si>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</si>
  <si>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</si>
  <si>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</si>
  <si>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</si>
  <si>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</si>
  <si>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</si>
  <si>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</si>
  <si>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</si>
  <si>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</si>
  <si>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</si>
  <si>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</si>
  <si>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</si>
  <si>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</si>
  <si>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</si>
  <si>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</si>
  <si>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</si>
  <si>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</si>
  <si>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</si>
  <si>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</si>
  <si>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</si>
  <si>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</si>
  <si>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</si>
  <si>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</si>
  <si>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</si>
  <si>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</si>
  <si>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</si>
  <si>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</si>
  <si>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</si>
  <si>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</si>
  <si>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</si>
  <si>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</si>
  <si>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</si>
  <si>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</si>
  <si>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</si>
  <si>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</si>
  <si>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</si>
  <si>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</si>
  <si>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</si>
  <si>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</si>
  <si>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</si>
  <si>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</si>
  <si>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</si>
  <si>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</si>
  <si>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</si>
  <si>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</si>
  <si>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</si>
  <si>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</si>
  <si>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</si>
  <si>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</si>
  <si>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</si>
  <si>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</si>
  <si>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</si>
  <si>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</si>
  <si>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</si>
  <si>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</si>
  <si>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</si>
  <si>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</si>
  <si>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</si>
  <si>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</si>
  <si>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</si>
  <si>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</si>
  <si>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</si>
  <si>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</si>
  <si>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</si>
  <si>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</si>
  <si>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</si>
  <si>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</si>
  <si>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</si>
  <si>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</si>
  <si>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</si>
  <si>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</si>
  <si>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</si>
  <si>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</si>
  <si>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</si>
  <si>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</si>
  <si>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</si>
  <si>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</si>
  <si>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</si>
  <si>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</si>
  <si>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</si>
  <si>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</si>
  <si>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</si>
  <si>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</si>
  <si>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</si>
  <si>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</si>
  <si>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</si>
  <si>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</si>
  <si>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</si>
  <si>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</si>
  <si>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</si>
  <si>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</si>
  <si>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</si>
  <si>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</si>
  <si>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</si>
  <si>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</si>
  <si>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</si>
  <si>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</si>
  <si>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</si>
  <si>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</si>
  <si>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</si>
  <si>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</si>
  <si>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</si>
  <si>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</si>
  <si>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</si>
  <si>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</si>
  <si>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</si>
  <si>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</si>
  <si>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</si>
  <si>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</si>
  <si>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</si>
  <si>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</si>
  <si>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</si>
  <si>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</si>
  <si>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</si>
  <si>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</si>
  <si>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</si>
  <si>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</si>
  <si>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</si>
  <si>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</si>
  <si>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</si>
  <si>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</si>
  <si>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</si>
  <si>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</si>
  <si>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</si>
  <si>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</si>
  <si>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</si>
  <si>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</si>
  <si>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</si>
  <si>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</si>
  <si>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</si>
  <si>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</si>
  <si>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</si>
  <si>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</si>
  <si>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</si>
  <si>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</si>
  <si>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</si>
  <si>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</si>
  <si>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</si>
  <si>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</si>
  <si>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</si>
  <si>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</si>
  <si>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</si>
  <si>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</si>
  <si>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</si>
  <si>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</si>
  <si>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</si>
  <si>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</si>
  <si>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</si>
  <si>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</si>
  <si>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</si>
  <si>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</si>
  <si>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</si>
  <si>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</si>
  <si>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</si>
  <si>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</si>
  <si>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</si>
  <si>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</si>
  <si>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</si>
  <si>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</si>
  <si>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</si>
  <si>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</si>
  <si>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</si>
  <si>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</si>
  <si>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</si>
  <si>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</si>
  <si>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</si>
  <si>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</si>
  <si>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</si>
  <si>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</si>
  <si>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</si>
  <si>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</si>
  <si>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</si>
  <si>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</si>
  <si>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</si>
  <si>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</si>
  <si>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</si>
  <si>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</si>
  <si>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</si>
  <si>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</si>
  <si>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</si>
  <si>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</si>
  <si>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</si>
  <si>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</si>
  <si>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</si>
  <si>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</si>
  <si>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</si>
  <si>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</si>
  <si>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</si>
  <si>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</si>
  <si>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</si>
  <si>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</si>
  <si>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</si>
  <si>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</si>
  <si>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</si>
  <si>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</si>
  <si>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</si>
  <si>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</si>
  <si>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</si>
  <si>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</si>
  <si>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</si>
  <si>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</si>
  <si>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</si>
  <si>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</si>
  <si>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</si>
  <si>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</si>
  <si>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</si>
  <si>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</si>
  <si>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</si>
  <si>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</si>
  <si>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</si>
  <si>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</si>
  <si>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</si>
  <si>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</si>
  <si>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</si>
  <si>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</si>
  <si>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</si>
  <si>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</si>
  <si>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</si>
  <si>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</si>
  <si>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</si>
  <si>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</si>
  <si>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</si>
  <si>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</si>
  <si>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</si>
  <si>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</si>
  <si>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</si>
  <si>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</si>
  <si>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</si>
  <si>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</si>
  <si>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</si>
  <si>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</si>
  <si>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</si>
  <si>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</si>
  <si>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</si>
  <si>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</si>
  <si>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</si>
  <si>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</si>
  <si>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</si>
  <si>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</si>
  <si>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</si>
  <si>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</si>
  <si>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</si>
  <si>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</si>
  <si>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</si>
  <si>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</si>
  <si>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</si>
  <si>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</si>
  <si>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</si>
  <si>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</si>
  <si>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</si>
  <si>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</si>
  <si>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</si>
  <si>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</si>
  <si>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</si>
  <si>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</si>
  <si>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</si>
  <si>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</si>
  <si>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</si>
  <si>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</si>
  <si>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</si>
  <si>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</si>
  <si>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</si>
  <si>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</si>
  <si>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</si>
  <si>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</si>
  <si>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</si>
  <si>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</si>
  <si>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</si>
  <si>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</si>
  <si>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</si>
  <si>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</si>
  <si>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</si>
  <si>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</si>
  <si>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</si>
  <si>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</si>
  <si>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</si>
  <si>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</si>
  <si>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</si>
  <si>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</si>
  <si>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</si>
  <si>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</si>
  <si>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</si>
  <si>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</si>
  <si>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</si>
  <si>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</si>
  <si>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</si>
  <si>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</si>
  <si>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</si>
  <si>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</si>
  <si>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</si>
  <si>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</si>
  <si>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</si>
  <si>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</si>
  <si>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</si>
  <si>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</si>
  <si>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</si>
  <si>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</si>
  <si>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</si>
  <si>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</si>
  <si>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</si>
  <si>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</si>
  <si>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</si>
  <si>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</si>
  <si>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</si>
  <si>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</si>
  <si>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</si>
  <si>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</si>
  <si>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</si>
  <si>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</si>
  <si>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</si>
  <si>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</si>
  <si>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</si>
  <si>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</si>
  <si>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</si>
  <si>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</si>
  <si>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</si>
  <si>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</si>
  <si>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</si>
  <si>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</si>
  <si>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</si>
  <si>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</si>
  <si>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</si>
  <si>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</si>
  <si>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</si>
  <si>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</si>
  <si>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</si>
  <si>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</si>
  <si>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</si>
  <si>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</si>
  <si>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</si>
  <si>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</si>
  <si>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</si>
  <si>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</si>
  <si>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</si>
  <si>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</si>
  <si>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</si>
  <si>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</si>
  <si>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</si>
  <si>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</si>
  <si>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</si>
  <si>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</si>
  <si>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</si>
  <si>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</si>
  <si>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</si>
  <si>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</si>
  <si>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</si>
  <si>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</si>
  <si>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</si>
  <si>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</si>
  <si>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</si>
  <si>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</si>
  <si>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</si>
  <si>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</si>
  <si>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</si>
  <si>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</si>
  <si>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</si>
  <si>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</si>
  <si>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</si>
  <si>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</si>
  <si>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</si>
  <si>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</si>
  <si>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</si>
  <si>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</si>
  <si>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</si>
  <si>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</si>
  <si>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</si>
  <si>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</si>
  <si>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</si>
  <si>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</si>
  <si>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</si>
  <si>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</si>
  <si>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</si>
  <si>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</si>
  <si>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</si>
  <si>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</si>
  <si>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</si>
  <si>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</si>
  <si>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</si>
  <si>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</si>
  <si>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</si>
  <si>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</si>
  <si>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</si>
  <si>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</si>
  <si>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</si>
  <si>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</si>
  <si>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</si>
  <si>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</si>
  <si>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</si>
  <si>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</si>
  <si>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</si>
  <si>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</si>
  <si>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</si>
  <si>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</si>
  <si>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</si>
  <si>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</si>
  <si>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</si>
  <si>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</si>
  <si>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</si>
  <si>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</si>
  <si>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</si>
  <si>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</si>
  <si>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</si>
  <si>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</si>
  <si>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</si>
  <si>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</si>
  <si>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</si>
  <si>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</si>
  <si>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</si>
  <si>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</si>
  <si>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</si>
  <si>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</si>
  <si>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</si>
  <si>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</si>
  <si>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</si>
  <si>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</si>
  <si>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</si>
  <si>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</si>
  <si>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</si>
  <si>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</si>
  <si>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</si>
  <si>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</si>
  <si>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</si>
  <si>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</si>
  <si>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</si>
  <si>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</si>
  <si>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</si>
  <si>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</si>
  <si>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</si>
  <si>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</si>
  <si>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</si>
  <si>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</si>
  <si>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</si>
  <si>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</si>
  <si>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</si>
  <si>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</si>
  <si>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</si>
  <si>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</si>
  <si>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</si>
  <si>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</si>
  <si>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</si>
  <si>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</si>
  <si>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</si>
  <si>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</si>
  <si>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</si>
  <si>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</si>
  <si>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</si>
  <si>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</si>
  <si>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</si>
  <si>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</si>
  <si>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</si>
  <si>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</si>
  <si>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</si>
  <si>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</si>
  <si>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</si>
  <si>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</si>
  <si>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</si>
  <si>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</si>
  <si>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</si>
  <si>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</si>
  <si>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</si>
  <si>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</si>
  <si>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</si>
  <si>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</si>
  <si>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</si>
  <si>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</si>
  <si>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</si>
  <si>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</si>
  <si>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</si>
  <si>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</si>
  <si>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</si>
  <si>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</si>
  <si>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</si>
  <si>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</si>
  <si>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</si>
  <si>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</si>
  <si>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</si>
  <si>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</si>
  <si>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</si>
  <si>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</si>
  <si>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</si>
  <si>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</si>
  <si>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</si>
  <si>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</si>
  <si>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</si>
  <si>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</si>
  <si>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</si>
  <si>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</si>
  <si>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</si>
  <si>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</si>
  <si>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</si>
  <si>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</si>
  <si>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</si>
  <si>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</si>
  <si>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</si>
  <si>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</si>
  <si>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</si>
  <si>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</si>
  <si>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</si>
  <si>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</si>
  <si>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</si>
  <si>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</si>
  <si>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</si>
  <si>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</si>
  <si>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</si>
  <si>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</si>
  <si>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</si>
  <si>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</si>
  <si>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</si>
  <si>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</si>
  <si>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</si>
  <si>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</si>
  <si>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</si>
  <si>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</si>
  <si>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</si>
  <si>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</si>
  <si>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</si>
  <si>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</si>
  <si>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</si>
  <si>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</si>
  <si>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</si>
  <si>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</si>
  <si>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</si>
  <si>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</si>
  <si>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</si>
  <si>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</si>
  <si>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</si>
  <si>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</si>
  <si>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</si>
  <si>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</si>
  <si>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</si>
  <si>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</si>
  <si>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Greenfield Family Apartments</t>
  </si>
  <si>
    <t>Greenfield Apartments Associates, L.P.</t>
  </si>
  <si>
    <t>Maurice Ramirez</t>
  </si>
  <si>
    <t>Authorized Signatory</t>
  </si>
  <si>
    <t>Irvine</t>
  </si>
  <si>
    <t>January</t>
  </si>
  <si>
    <t>City of Chico</t>
  </si>
  <si>
    <t>Chico</t>
  </si>
  <si>
    <t>530-879-6303</t>
  </si>
  <si>
    <t>530-895-4726</t>
  </si>
  <si>
    <t>City Manager / Housing Manager</t>
  </si>
  <si>
    <t>411 Main St., P.O. Box 3420</t>
  </si>
  <si>
    <t>South Corner of Greenfield Drive and Esplanade</t>
  </si>
  <si>
    <t>006-500-014</t>
  </si>
  <si>
    <t>40%/60%</t>
  </si>
  <si>
    <t>Domus Development, LLC</t>
  </si>
  <si>
    <t>9 Cushing, Suite 200</t>
  </si>
  <si>
    <t>CA</t>
  </si>
  <si>
    <t>310-948-5904</t>
  </si>
  <si>
    <t>maurice@domusd.com</t>
  </si>
  <si>
    <t>President</t>
  </si>
  <si>
    <t>Not Applicable</t>
  </si>
  <si>
    <t>Provided</t>
  </si>
  <si>
    <t>Domus GP LLC</t>
  </si>
  <si>
    <t>Administrative GP</t>
  </si>
  <si>
    <t>Spectrum GP LLC</t>
  </si>
  <si>
    <t>Managing GP</t>
  </si>
  <si>
    <t>78 Bunsen</t>
  </si>
  <si>
    <t>Daniel Kim</t>
  </si>
  <si>
    <t>714-861-0873</t>
  </si>
  <si>
    <t>daniel.kim@spectrumahc.org</t>
  </si>
  <si>
    <t>Spectrum Affordable Housing Corporation</t>
  </si>
  <si>
    <t>Irvine, CA  92618</t>
  </si>
  <si>
    <t>949-585-0449</t>
  </si>
  <si>
    <t>Bocarsly Emden Cowan Esmail &amp; Arndt</t>
  </si>
  <si>
    <t>633 West Fifth Street, 64th Floor</t>
  </si>
  <si>
    <t>Los Angeles, CA  90071</t>
  </si>
  <si>
    <t>Kyle Arndt</t>
  </si>
  <si>
    <t>213-239-8048</t>
  </si>
  <si>
    <t>213-559-0747</t>
  </si>
  <si>
    <t>karndt@bocarsly.com</t>
  </si>
  <si>
    <t>Bowman &amp; Company, LLP</t>
  </si>
  <si>
    <t>1011 Trinity Parkway, Suite 310</t>
  </si>
  <si>
    <t>Stockton, CA  95219</t>
  </si>
  <si>
    <t>Tara Eastwood</t>
  </si>
  <si>
    <t>209-473-1040</t>
  </si>
  <si>
    <t>209-473-9771</t>
  </si>
  <si>
    <t>teastwood@cpabowman.com</t>
  </si>
  <si>
    <t>Killefer Flammang Architects (KFA)</t>
  </si>
  <si>
    <t>3573 Hayden Avenue</t>
  </si>
  <si>
    <t>Culver City, CA  90232</t>
  </si>
  <si>
    <t>John Arnold</t>
  </si>
  <si>
    <t>310-309-3918</t>
  </si>
  <si>
    <t>john@kfalosangeles.com</t>
  </si>
  <si>
    <t>NP Construction Company</t>
  </si>
  <si>
    <t>Roger Silva</t>
  </si>
  <si>
    <t>949-923-7803</t>
  </si>
  <si>
    <t>rsilva@newportpartners.com</t>
  </si>
  <si>
    <t>Redwood Energy</t>
  </si>
  <si>
    <t>1090 12th Street</t>
  </si>
  <si>
    <t>Arcata, CA  95521</t>
  </si>
  <si>
    <t>Michael Winkler</t>
  </si>
  <si>
    <t>707-822-1857</t>
  </si>
  <si>
    <t>mwinkle@yahoo.com</t>
  </si>
  <si>
    <t>Laurin Associates</t>
  </si>
  <si>
    <t>1501 Sports Drive</t>
  </si>
  <si>
    <t>Sacramento, CA  95834</t>
  </si>
  <si>
    <t>Stefanie Williams</t>
  </si>
  <si>
    <t>916-372-6100</t>
  </si>
  <si>
    <t>916-419-6108</t>
  </si>
  <si>
    <t>swilliams@laurinassociates.com</t>
  </si>
  <si>
    <t>W&amp;D Affordable Equity</t>
  </si>
  <si>
    <t>26050 Maureau Road</t>
  </si>
  <si>
    <t>Calabasas, CA  91302</t>
  </si>
  <si>
    <t>Aaron Krasnow</t>
  </si>
  <si>
    <t>818-449-5814</t>
  </si>
  <si>
    <t>Akrasnow@walkerdunlop.com</t>
  </si>
  <si>
    <t>California Municipal Finance Authority</t>
  </si>
  <si>
    <t>2111 Palomar Airport Road, Suite 320</t>
  </si>
  <si>
    <t>Carlsbad, CA  92011</t>
  </si>
  <si>
    <t>Anthony Stubbs</t>
  </si>
  <si>
    <t>760-930-1333</t>
  </si>
  <si>
    <t>760-683-3390</t>
  </si>
  <si>
    <t>astubbs@cmfa-ca.com</t>
  </si>
  <si>
    <t>Domus Management Company</t>
  </si>
  <si>
    <t>P.O. Box 379</t>
  </si>
  <si>
    <t>Lodi, CA  95241</t>
  </si>
  <si>
    <t>Cathy Metcalf</t>
  </si>
  <si>
    <t>209-365-9010</t>
  </si>
  <si>
    <t>209-365-9015</t>
  </si>
  <si>
    <t>cathym@domusmc.com</t>
  </si>
  <si>
    <t>Restart Development, LLC</t>
  </si>
  <si>
    <t>Garret Gililland</t>
  </si>
  <si>
    <t>Manager</t>
  </si>
  <si>
    <t xml:space="preserve">311 Oak Ridge Drive, Suite #1, </t>
  </si>
  <si>
    <t>Roseville, CA  95661</t>
  </si>
  <si>
    <t>n/a</t>
  </si>
  <si>
    <t>Secured by Fee Interest</t>
  </si>
  <si>
    <t>Other (Specify below)</t>
  </si>
  <si>
    <t>Infill Development</t>
  </si>
  <si>
    <t>124,146 SF</t>
  </si>
  <si>
    <t>OMU</t>
  </si>
  <si>
    <t>OR-AOD-COS / 60 units per gross acre</t>
  </si>
  <si>
    <t>OR-AOD -COS / 60 units per gross acre</t>
  </si>
  <si>
    <t>65 Feet</t>
  </si>
  <si>
    <t>1BR - 1 Space/Unit; 2 BR &amp; 3BR - 1.5 Space/Unit; Café - 1 Space / 5 seats or 1 Space / 94 SF of Customer Floor</t>
  </si>
  <si>
    <t>HCD IIG Small Jurisdiction</t>
  </si>
  <si>
    <t>CDBG DR-MHP 2018</t>
  </si>
  <si>
    <t>Citibank, N.A.</t>
  </si>
  <si>
    <t>CDBG-DR MHP 2018</t>
  </si>
  <si>
    <t>25 Count Center Drive</t>
  </si>
  <si>
    <t>Oroville, CA  95965</t>
  </si>
  <si>
    <t>Casey Hatcher</t>
  </si>
  <si>
    <t>530-552-3336</t>
  </si>
  <si>
    <t>Tax Credit Equity</t>
  </si>
  <si>
    <t>2020 W El Camino Avenue, Suite 670</t>
  </si>
  <si>
    <t>Jennifer Seeger</t>
  </si>
  <si>
    <t>916-263-2771</t>
  </si>
  <si>
    <t>Damages, Late &amp; NSF</t>
  </si>
  <si>
    <t>CUAC - State of California Energy Commission - Redwood Energy - Michael Winkler, Redwood Energy CEA</t>
  </si>
  <si>
    <t>Meetings, Office Exp, Misc Admin Exp</t>
  </si>
  <si>
    <t>Payroll Taxes, Misc Taxes, Licenses, etc</t>
  </si>
  <si>
    <t>HCS IIG Small Jurisdiction</t>
  </si>
  <si>
    <t>State:  DR-MHP 2020</t>
  </si>
  <si>
    <t xml:space="preserve">CDBG DR MHP 2018;
HCD IIG </t>
  </si>
  <si>
    <t>One Market Street, 40th Floor</t>
  </si>
  <si>
    <t>San Francisco, CA  94111</t>
  </si>
  <si>
    <t>Jacob St. Onge</t>
  </si>
  <si>
    <t>415-658-3118</t>
  </si>
  <si>
    <t>Other: P&amp;P Bond</t>
  </si>
  <si>
    <t>Other: Utility Connection Fees</t>
  </si>
  <si>
    <t>Other: Deputy Inspections</t>
  </si>
  <si>
    <t>GP Equity</t>
  </si>
  <si>
    <t>HCD DR-MHP 2020 (anticipated awards in Feb 2025)</t>
  </si>
  <si>
    <t>Other: Transaction-Construction</t>
  </si>
  <si>
    <t>CDBG DR-MHP 2018, HCD IIG</t>
  </si>
  <si>
    <t>Air Conditioning</t>
  </si>
  <si>
    <t>Citibank, NA</t>
  </si>
  <si>
    <t>HCD .42% DR-MHP Interest</t>
  </si>
  <si>
    <t>Below residual receipts line for cash flow</t>
  </si>
  <si>
    <t>County CDBG-MHP 2018</t>
  </si>
  <si>
    <t>State HCD DR-MHP 2020</t>
  </si>
  <si>
    <t>26050 Mureau Rd.</t>
  </si>
  <si>
    <t>Other: Permanent Loan Legal</t>
  </si>
  <si>
    <t>Other: Misc Consultants, LEED Doc/CASp, landscape, survey, geotechnical,entitlements consultant</t>
  </si>
  <si>
    <t>Other: Construction-Lender Legal, Bond Counsel, Bond Trustee Fee and Counsel, lender 3rd party costs, lender monitoring fee</t>
  </si>
  <si>
    <t>Construction Loan, Taxable</t>
  </si>
  <si>
    <t>Construction Loan, Tax Exempt</t>
  </si>
  <si>
    <t>Michael Limb</t>
  </si>
  <si>
    <t>949-923-7800</t>
  </si>
  <si>
    <t>mlimb@newportpartners.com</t>
  </si>
  <si>
    <t>Kinetic Valuation Group, Inc.</t>
  </si>
  <si>
    <t>PO Box 68</t>
  </si>
  <si>
    <t>Corona Del Mar, CA  92625</t>
  </si>
  <si>
    <t>Jay Wortmann, MAI</t>
  </si>
  <si>
    <t>jay@kvgteam.com</t>
  </si>
  <si>
    <t>402-202-0771</t>
  </si>
  <si>
    <t>651 Bannon Street, Suite 400</t>
  </si>
  <si>
    <t>Sacramento, CA  95811</t>
  </si>
  <si>
    <t>Joe Harney</t>
  </si>
  <si>
    <t>916-490-6039</t>
  </si>
  <si>
    <t>County:  CDBG DR-MHP 2018 Supplemental</t>
  </si>
  <si>
    <t>CDBG DR-MHP 2018 Supplemental</t>
  </si>
  <si>
    <t>Ms. MaryJo Alonzo</t>
  </si>
  <si>
    <t>maryjo.alonzo@Chicoca.gov</t>
  </si>
  <si>
    <t>There will be a 2,323 SF Café in the north-west corner building</t>
  </si>
  <si>
    <t>CDBG DR-MHP 2020</t>
  </si>
  <si>
    <t>Variable</t>
  </si>
  <si>
    <t>CDBG-DR MHP 2018 Supplemental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</si>
</sst>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17">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0" fontId="27" fillId="0" borderId="11"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9" fontId="99" fillId="0" borderId="0" xfId="4494" applyFont="1" applyFill="1" applyBorder="1" applyProtection="1"/>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185" fontId="3" fillId="0" borderId="0" xfId="698" applyNumberFormat="1" applyFont="1"/>
    <xf numFmtId="0" fontId="103" fillId="45" borderId="93" xfId="8733" applyFont="1" applyFill="1" applyBorder="1"/>
    <xf numFmtId="0" fontId="103" fillId="45" borderId="6" xfId="8733" applyFont="1" applyFill="1" applyBorder="1"/>
    <xf numFmtId="0" fontId="103" fillId="45" borderId="10" xfId="8733" applyFont="1" applyFill="1" applyBorder="1"/>
    <xf numFmtId="10" fontId="3" fillId="0" borderId="0" xfId="1022" applyNumberFormat="1" applyFont="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0" fillId="0" borderId="6" xfId="0" applyBorder="1" applyAlignment="1">
      <alignment horizontal="left"/>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5" fillId="0" borderId="11" xfId="0" applyFont="1" applyBorder="1" applyAlignment="1">
      <alignment horizontal="center" vertical="center" wrapText="1"/>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9" xfId="0" applyBorder="1" applyAlignment="1">
      <alignment horizontal="lef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 fontId="27" fillId="5" borderId="11" xfId="0" applyNumberFormat="1" applyFont="1" applyFill="1" applyBorder="1" applyAlignment="1" applyProtection="1">
      <alignment horizontal="center"/>
      <protection locked="0"/>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5" borderId="11" xfId="0" applyFont="1" applyFill="1" applyBorder="1" applyAlignment="1" applyProtection="1">
      <alignment horizontal="left" wrapText="1"/>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8" fillId="43" borderId="11" xfId="0" applyFont="1" applyFill="1" applyBorder="1" applyAlignment="1" applyProtection="1">
      <alignment horizontal="center"/>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Protection="1">
      <protection locked="0"/>
    </xf>
    <xf numFmtId="0" fontId="27" fillId="0" borderId="3" xfId="0" applyFont="1" applyBorder="1" applyAlignment="1">
      <alignment horizontal="left"/>
    </xf>
    <xf numFmtId="0" fontId="25" fillId="0" borderId="7" xfId="0" applyFont="1"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0" fontId="18" fillId="5" borderId="6" xfId="569" applyFill="1" applyBorder="1" applyAlignment="1" applyProtection="1">
      <alignment horizontal="left"/>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172" fontId="25"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8" fillId="0" borderId="0" xfId="543" applyNumberFormat="1" applyAlignment="1">
      <alignment horizontal="right"/>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7" fillId="0" borderId="0" xfId="0" applyNumberFormat="1" applyFont="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43" borderId="4"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8" fillId="0" borderId="3" xfId="0" applyNumberFormat="1" applyFont="1" applyBorder="1" applyAlignment="1">
      <alignment horizontal="left" vertical="top"/>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10" fontId="27" fillId="0" borderId="11" xfId="0" applyNumberFormat="1" applyFont="1" applyBorder="1" applyAlignment="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4"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4"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0" fillId="48" borderId="3" xfId="8733" applyFont="1" applyFill="1" applyBorder="1" applyAlignment="1">
      <alignment horizontal="center"/>
    </xf>
    <xf numFmtId="0" fontId="170" fillId="48" borderId="4" xfId="8733" applyFont="1" applyFill="1" applyBorder="1" applyAlignment="1">
      <alignment horizontal="center"/>
    </xf>
    <xf numFmtId="0" fontId="170" fillId="48" borderId="81"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5617">
    <cellStyle name="20% - Accent1" xfId="1" builtinId="30" customBuiltin="1"/>
    <cellStyle name="20% - Accent1 10" xfId="4504" xr:uid="{00000000-0005-0000-0000-000001000000}"/>
    <cellStyle name="20% - Accent1 10 2" xfId="12954" xr:uid="{AF9C9022-797E-4ED3-A9FE-38ECAE58CD5F}"/>
    <cellStyle name="20% - Accent1 10 3" xfId="21394" xr:uid="{EE016EBA-7B15-4AF4-9B2D-1FC38FEBFC3D}"/>
    <cellStyle name="20% - Accent1 11" xfId="8736" xr:uid="{AAE378AE-46AD-48EE-9C71-DF533213D116}"/>
    <cellStyle name="20% - Accent1 12" xfId="17177" xr:uid="{01FD9BC8-2817-48AC-BCC5-47F60D81D644}"/>
    <cellStyle name="20% - Accent1 2" xfId="2" xr:uid="{00000000-0005-0000-0000-000002000000}"/>
    <cellStyle name="20% - Accent1 2 10" xfId="8737" xr:uid="{6296A2A2-1F96-45F7-B1F3-F1706939900D}"/>
    <cellStyle name="20% - Accent1 2 11" xfId="17178" xr:uid="{6AE7526E-B592-47BA-B757-8D904893C885}"/>
    <cellStyle name="20% - Accent1 2 2" xfId="3" xr:uid="{00000000-0005-0000-0000-000003000000}"/>
    <cellStyle name="20% - Accent1 2 2 10" xfId="17179" xr:uid="{AA2D5C2F-D05B-436C-B080-F938D2CFE21A}"/>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B79448E0-0CA1-4F0E-9CC6-F93CCEEE76B6}"/>
    <cellStyle name="20% - Accent1 2 2 2 2 2 2 3" xfId="23956" xr:uid="{6628C214-F461-4035-B596-17A05FF81BC9}"/>
    <cellStyle name="20% - Accent1 2 2 2 2 2 3" xfId="11298" xr:uid="{59E867DE-A849-4D6D-B776-3C30373736C4}"/>
    <cellStyle name="20% - Accent1 2 2 2 2 2 4" xfId="19739" xr:uid="{BD8FE7A6-D6B8-40F3-931E-5F5F86162BB5}"/>
    <cellStyle name="20% - Accent1 2 2 2 2 3" xfId="4921" xr:uid="{00000000-0005-0000-0000-000008000000}"/>
    <cellStyle name="20% - Accent1 2 2 2 2 3 2" xfId="13371" xr:uid="{C816D6F0-545F-4FF4-930F-8794C1EFDB67}"/>
    <cellStyle name="20% - Accent1 2 2 2 2 3 3" xfId="21811" xr:uid="{A9E29466-A210-4885-BC64-3099503B552A}"/>
    <cellStyle name="20% - Accent1 2 2 2 2 4" xfId="9153" xr:uid="{3E778600-2BF4-46A2-9858-9AE82BA0151C}"/>
    <cellStyle name="20% - Accent1 2 2 2 2 5" xfId="17594" xr:uid="{D96DA290-C4DB-4EF3-BA06-0C206EB47011}"/>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BE2D018B-CD6E-47EE-B75E-946048A9EF47}"/>
    <cellStyle name="20% - Accent1 2 2 2 3 2 2 3" xfId="24369" xr:uid="{389EAF5B-97A4-46C0-BD18-6A3EF9E191EA}"/>
    <cellStyle name="20% - Accent1 2 2 2 3 2 3" xfId="11711" xr:uid="{73EE8717-3B49-4EFE-8C07-7F05326F46B7}"/>
    <cellStyle name="20% - Accent1 2 2 2 3 2 4" xfId="20152" xr:uid="{781CC2B1-76A3-4314-A22F-F8F901EA31BA}"/>
    <cellStyle name="20% - Accent1 2 2 2 3 3" xfId="5334" xr:uid="{00000000-0005-0000-0000-00000C000000}"/>
    <cellStyle name="20% - Accent1 2 2 2 3 3 2" xfId="13784" xr:uid="{60C17719-54AA-408B-9677-3B9BACBE39C8}"/>
    <cellStyle name="20% - Accent1 2 2 2 3 3 3" xfId="22224" xr:uid="{771F2188-5ADF-4DA9-8263-D5C6AC2C5C56}"/>
    <cellStyle name="20% - Accent1 2 2 2 3 4" xfId="9566" xr:uid="{77B9C086-AA96-464A-98CD-8BA29460D2AE}"/>
    <cellStyle name="20% - Accent1 2 2 2 3 5" xfId="18007" xr:uid="{B4ABF974-D880-4E52-9DC8-F90AE368B52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420D3EB8-09DA-4F6F-ADC7-FC174F33286E}"/>
    <cellStyle name="20% - Accent1 2 2 2 4 2 2 3" xfId="24782" xr:uid="{C978386C-CC6F-4F8C-B41F-3C2CA1449D54}"/>
    <cellStyle name="20% - Accent1 2 2 2 4 2 3" xfId="12124" xr:uid="{BBC6F2BB-C6BF-421F-BAD2-656080FD159A}"/>
    <cellStyle name="20% - Accent1 2 2 2 4 2 4" xfId="20565" xr:uid="{09844354-7715-4E6D-A83A-1AE4F2E079CC}"/>
    <cellStyle name="20% - Accent1 2 2 2 4 3" xfId="5747" xr:uid="{00000000-0005-0000-0000-000010000000}"/>
    <cellStyle name="20% - Accent1 2 2 2 4 3 2" xfId="14197" xr:uid="{3CBB4CA1-EAC2-420E-8043-CFC2F9BADBA9}"/>
    <cellStyle name="20% - Accent1 2 2 2 4 3 3" xfId="22637" xr:uid="{42164750-2585-4794-BD58-0EF167162ED9}"/>
    <cellStyle name="20% - Accent1 2 2 2 4 4" xfId="9979" xr:uid="{EDBA49DA-C786-4B77-8C20-D6A5EB4FCA06}"/>
    <cellStyle name="20% - Accent1 2 2 2 4 5" xfId="18420" xr:uid="{35E7534E-A3E1-4020-8455-318D7D3F1F2B}"/>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8058E388-2CFF-4BCE-8328-79AE9A34D90A}"/>
    <cellStyle name="20% - Accent1 2 2 2 5 2 2 3" xfId="25195" xr:uid="{B64D62B2-5DC0-4396-8101-C1F3E8A72EF7}"/>
    <cellStyle name="20% - Accent1 2 2 2 5 2 3" xfId="12537" xr:uid="{98337A6B-B7C9-4B45-A643-52530705FCA7}"/>
    <cellStyle name="20% - Accent1 2 2 2 5 2 4" xfId="20978" xr:uid="{834F8DC9-9309-44C3-B83C-6739846E4D76}"/>
    <cellStyle name="20% - Accent1 2 2 2 5 3" xfId="6160" xr:uid="{00000000-0005-0000-0000-000014000000}"/>
    <cellStyle name="20% - Accent1 2 2 2 5 3 2" xfId="14610" xr:uid="{3652254F-C998-4E75-AD76-BDE07214BDB9}"/>
    <cellStyle name="20% - Accent1 2 2 2 5 3 3" xfId="23050" xr:uid="{332E22E5-2C9B-459F-9942-DA4E19E8E312}"/>
    <cellStyle name="20% - Accent1 2 2 2 5 4" xfId="10392" xr:uid="{4015856F-58D6-4477-9BA1-0ED22784F013}"/>
    <cellStyle name="20% - Accent1 2 2 2 5 5" xfId="18833" xr:uid="{D197E52D-5149-4CD2-AD31-69CEEEA93DE9}"/>
    <cellStyle name="20% - Accent1 2 2 2 6" xfId="2267" xr:uid="{00000000-0005-0000-0000-000015000000}"/>
    <cellStyle name="20% - Accent1 2 2 2 6 2" xfId="6573" xr:uid="{00000000-0005-0000-0000-000016000000}"/>
    <cellStyle name="20% - Accent1 2 2 2 6 2 2" xfId="15023" xr:uid="{523C95AE-8902-4FFC-89C4-A848773A5973}"/>
    <cellStyle name="20% - Accent1 2 2 2 6 2 3" xfId="23463" xr:uid="{1AF4C0D7-0912-40FE-9266-E644317C08A2}"/>
    <cellStyle name="20% - Accent1 2 2 2 6 3" xfId="10805" xr:uid="{35B189BE-5BB9-4DCC-A731-18F1D7B1DAEB}"/>
    <cellStyle name="20% - Accent1 2 2 2 6 4" xfId="19246" xr:uid="{54E29DB5-D6CE-433F-B7B5-A695095AA07C}"/>
    <cellStyle name="20% - Accent1 2 2 2 7" xfId="4507" xr:uid="{00000000-0005-0000-0000-000017000000}"/>
    <cellStyle name="20% - Accent1 2 2 2 7 2" xfId="12957" xr:uid="{9A5AF5B7-B655-4B6A-8C66-4389A2F3E409}"/>
    <cellStyle name="20% - Accent1 2 2 2 7 3" xfId="21397" xr:uid="{C0EDC0A9-56AD-4D71-80F2-1C2104854E7E}"/>
    <cellStyle name="20% - Accent1 2 2 2 8" xfId="8739" xr:uid="{7B13290E-B535-4FDF-A8F2-B453B6334F35}"/>
    <cellStyle name="20% - Accent1 2 2 2 9" xfId="17180" xr:uid="{C4309548-CF2C-4BA8-ABEF-83B94F47F27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4507F9B8-B668-48A0-9826-AAED536410FF}"/>
    <cellStyle name="20% - Accent1 2 2 3 2 2 3" xfId="23955" xr:uid="{72DA6528-0198-4276-A4E6-D749B6919901}"/>
    <cellStyle name="20% - Accent1 2 2 3 2 3" xfId="11297" xr:uid="{1A73E9AA-3F6B-428F-B65B-772D77FE892D}"/>
    <cellStyle name="20% - Accent1 2 2 3 2 4" xfId="19738" xr:uid="{58650F5A-BE49-4D8E-82B0-732BE605DCD3}"/>
    <cellStyle name="20% - Accent1 2 2 3 3" xfId="4920" xr:uid="{00000000-0005-0000-0000-00001B000000}"/>
    <cellStyle name="20% - Accent1 2 2 3 3 2" xfId="13370" xr:uid="{AEA3ACD7-880B-4EBC-9D72-1AD1C42B584B}"/>
    <cellStyle name="20% - Accent1 2 2 3 3 3" xfId="21810" xr:uid="{96F551B4-D41A-4ED8-9337-ACFA44F6BD6C}"/>
    <cellStyle name="20% - Accent1 2 2 3 4" xfId="9152" xr:uid="{91783FF5-F2D1-4A6F-9DAD-4487DC094702}"/>
    <cellStyle name="20% - Accent1 2 2 3 5" xfId="17593" xr:uid="{09AA463D-D391-4793-BCE8-64EE3AEA51D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82E1927E-AF2F-4DB2-BCFC-9C1A110ADBA1}"/>
    <cellStyle name="20% - Accent1 2 2 4 2 2 3" xfId="24368" xr:uid="{8B7A7D72-EB3D-4AE5-B50E-22D7AFEEECDD}"/>
    <cellStyle name="20% - Accent1 2 2 4 2 3" xfId="11710" xr:uid="{47F7BD1C-B1BB-4678-9254-CD8CA580B20A}"/>
    <cellStyle name="20% - Accent1 2 2 4 2 4" xfId="20151" xr:uid="{CB9ADCAD-6790-432F-AEF7-CE2A20F9E622}"/>
    <cellStyle name="20% - Accent1 2 2 4 3" xfId="5333" xr:uid="{00000000-0005-0000-0000-00001F000000}"/>
    <cellStyle name="20% - Accent1 2 2 4 3 2" xfId="13783" xr:uid="{90418E30-51C3-42BA-A2C3-3D44C18D894E}"/>
    <cellStyle name="20% - Accent1 2 2 4 3 3" xfId="22223" xr:uid="{37D92085-5F5A-479B-A0DC-2E67991B5AAB}"/>
    <cellStyle name="20% - Accent1 2 2 4 4" xfId="9565" xr:uid="{4F0460B9-E930-43AA-B51F-9CCC4F244278}"/>
    <cellStyle name="20% - Accent1 2 2 4 5" xfId="18006" xr:uid="{C50DEC1A-D918-460A-8531-EC955E558D3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6127247F-3792-4638-B7AD-D5BE9C0F7BD4}"/>
    <cellStyle name="20% - Accent1 2 2 5 2 2 3" xfId="24781" xr:uid="{E7E2DD07-171D-46E3-A5A2-241FAE690743}"/>
    <cellStyle name="20% - Accent1 2 2 5 2 3" xfId="12123" xr:uid="{BA3208A7-682F-4BD5-947A-05EDEDF55F34}"/>
    <cellStyle name="20% - Accent1 2 2 5 2 4" xfId="20564" xr:uid="{ABDE8A99-12CC-493A-97CF-BAA2D6FBB36E}"/>
    <cellStyle name="20% - Accent1 2 2 5 3" xfId="5746" xr:uid="{00000000-0005-0000-0000-000023000000}"/>
    <cellStyle name="20% - Accent1 2 2 5 3 2" xfId="14196" xr:uid="{9A5F9D5B-F0C9-4EDF-8E8A-6CCD76C41613}"/>
    <cellStyle name="20% - Accent1 2 2 5 3 3" xfId="22636" xr:uid="{0E60B085-DD65-4E4B-BDB0-3FB35AC00DF0}"/>
    <cellStyle name="20% - Accent1 2 2 5 4" xfId="9978" xr:uid="{98243F3F-73CE-4766-8B38-C4C56865101B}"/>
    <cellStyle name="20% - Accent1 2 2 5 5" xfId="18419" xr:uid="{7DF00FF4-B681-45DF-AE5D-6B66F3E3F66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243715FB-A8F5-4A43-88B6-B98917B7EB1E}"/>
    <cellStyle name="20% - Accent1 2 2 6 2 2 3" xfId="25194" xr:uid="{F66F07D6-508D-4DEF-902C-C3F29D335546}"/>
    <cellStyle name="20% - Accent1 2 2 6 2 3" xfId="12536" xr:uid="{E22270B4-36A0-460D-9E5C-3F6C1510033E}"/>
    <cellStyle name="20% - Accent1 2 2 6 2 4" xfId="20977" xr:uid="{CDFD2F31-575B-48C7-85FD-53F658119942}"/>
    <cellStyle name="20% - Accent1 2 2 6 3" xfId="6159" xr:uid="{00000000-0005-0000-0000-000027000000}"/>
    <cellStyle name="20% - Accent1 2 2 6 3 2" xfId="14609" xr:uid="{99FD43E4-2978-4E7A-9B7E-6FB2D6763F9B}"/>
    <cellStyle name="20% - Accent1 2 2 6 3 3" xfId="23049" xr:uid="{3E864225-8D19-4E13-A0A3-DD214FBDFC01}"/>
    <cellStyle name="20% - Accent1 2 2 6 4" xfId="10391" xr:uid="{34E7B550-2806-4E8F-B35E-4776007A4CAD}"/>
    <cellStyle name="20% - Accent1 2 2 6 5" xfId="18832" xr:uid="{12A2A702-85F9-4017-85F0-E76D56718082}"/>
    <cellStyle name="20% - Accent1 2 2 7" xfId="2266" xr:uid="{00000000-0005-0000-0000-000028000000}"/>
    <cellStyle name="20% - Accent1 2 2 7 2" xfId="6572" xr:uid="{00000000-0005-0000-0000-000029000000}"/>
    <cellStyle name="20% - Accent1 2 2 7 2 2" xfId="15022" xr:uid="{7530612D-F882-40D5-A5C7-C7A3E123BC2E}"/>
    <cellStyle name="20% - Accent1 2 2 7 2 3" xfId="23462" xr:uid="{3E466B8D-24C2-40F8-B170-CA1F925EC86C}"/>
    <cellStyle name="20% - Accent1 2 2 7 3" xfId="10804" xr:uid="{B842E53B-D3E8-4B6E-B211-2515A40ACAA4}"/>
    <cellStyle name="20% - Accent1 2 2 7 4" xfId="19245" xr:uid="{AACEE994-7D78-4EBF-958C-05F26A0680AC}"/>
    <cellStyle name="20% - Accent1 2 2 8" xfId="4506" xr:uid="{00000000-0005-0000-0000-00002A000000}"/>
    <cellStyle name="20% - Accent1 2 2 8 2" xfId="12956" xr:uid="{492803D4-071D-46A4-B94D-28856FA7306E}"/>
    <cellStyle name="20% - Accent1 2 2 8 3" xfId="21396" xr:uid="{1028EB21-38B9-4BEF-B25B-23AF90F71754}"/>
    <cellStyle name="20% - Accent1 2 2 9" xfId="8738" xr:uid="{35BDE8BD-B2DC-4533-83F8-C18A9BCCD3AE}"/>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1B8B1F0E-42C4-47A4-BB0C-B4CFD7D99806}"/>
    <cellStyle name="20% - Accent1 2 3 2 2 2 3" xfId="23957" xr:uid="{D5227238-77FA-40D2-A8C1-3870D0C8BFC0}"/>
    <cellStyle name="20% - Accent1 2 3 2 2 3" xfId="11299" xr:uid="{97ECD677-989F-483B-BB77-5E34D32F6D1C}"/>
    <cellStyle name="20% - Accent1 2 3 2 2 4" xfId="19740" xr:uid="{7D5DBF67-7907-42E4-949F-2BA2DDDABB1C}"/>
    <cellStyle name="20% - Accent1 2 3 2 3" xfId="4922" xr:uid="{00000000-0005-0000-0000-00002F000000}"/>
    <cellStyle name="20% - Accent1 2 3 2 3 2" xfId="13372" xr:uid="{C9BB9FA1-5F7C-4630-A371-9B9E55417790}"/>
    <cellStyle name="20% - Accent1 2 3 2 3 3" xfId="21812" xr:uid="{C591849D-2E64-4EF0-B285-29786195A8A9}"/>
    <cellStyle name="20% - Accent1 2 3 2 4" xfId="9154" xr:uid="{32ED6E5F-290A-4A7C-AB98-9F22E7C28663}"/>
    <cellStyle name="20% - Accent1 2 3 2 5" xfId="17595" xr:uid="{085FED0E-CBD2-4DE1-B283-3801674854A0}"/>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7D9F6DB9-0F04-4764-9877-3135793E0C7E}"/>
    <cellStyle name="20% - Accent1 2 3 3 2 2 3" xfId="24370" xr:uid="{F0580175-C4A0-488E-9018-385525C4713E}"/>
    <cellStyle name="20% - Accent1 2 3 3 2 3" xfId="11712" xr:uid="{41FAF2B4-EF56-4841-97D4-7B6A6C2F0058}"/>
    <cellStyle name="20% - Accent1 2 3 3 2 4" xfId="20153" xr:uid="{0F6E6B4A-B7F6-46A8-BCC8-F2B90AC137E1}"/>
    <cellStyle name="20% - Accent1 2 3 3 3" xfId="5335" xr:uid="{00000000-0005-0000-0000-000033000000}"/>
    <cellStyle name="20% - Accent1 2 3 3 3 2" xfId="13785" xr:uid="{94452E43-5B36-4244-A2EB-01CCC7087EDE}"/>
    <cellStyle name="20% - Accent1 2 3 3 3 3" xfId="22225" xr:uid="{DFC42618-EF77-4578-A0EB-A77686834778}"/>
    <cellStyle name="20% - Accent1 2 3 3 4" xfId="9567" xr:uid="{02410B42-BADF-43F3-8A09-44CA36ABE3AB}"/>
    <cellStyle name="20% - Accent1 2 3 3 5" xfId="18008" xr:uid="{B8EE4E26-8708-44C6-9F1B-8E47136F696D}"/>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E4E3D577-3331-4CCB-B1C0-6C6C4FAB7C7F}"/>
    <cellStyle name="20% - Accent1 2 3 4 2 2 3" xfId="24783" xr:uid="{D5A9C770-985A-4D8F-9CC0-591CFD6D2EBB}"/>
    <cellStyle name="20% - Accent1 2 3 4 2 3" xfId="12125" xr:uid="{714C0328-5AF1-45EB-B475-3FCAA7BBA56A}"/>
    <cellStyle name="20% - Accent1 2 3 4 2 4" xfId="20566" xr:uid="{AD5CD5B7-4416-4EF3-A8F4-180E890E195B}"/>
    <cellStyle name="20% - Accent1 2 3 4 3" xfId="5748" xr:uid="{00000000-0005-0000-0000-000037000000}"/>
    <cellStyle name="20% - Accent1 2 3 4 3 2" xfId="14198" xr:uid="{9F21B330-D14B-454C-83E7-FB03AF30C03D}"/>
    <cellStyle name="20% - Accent1 2 3 4 3 3" xfId="22638" xr:uid="{8D9B1AAE-8C84-46C5-A0AE-622D68551795}"/>
    <cellStyle name="20% - Accent1 2 3 4 4" xfId="9980" xr:uid="{86467146-7C90-4E94-848C-8CB68FEE843D}"/>
    <cellStyle name="20% - Accent1 2 3 4 5" xfId="18421" xr:uid="{63031751-0558-455C-B434-1C717F90562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02DCE2BB-6CBA-4288-8D56-2158693C5A73}"/>
    <cellStyle name="20% - Accent1 2 3 5 2 2 3" xfId="25196" xr:uid="{16DF0863-C0BF-432C-ACBA-1DE2C1DB52F6}"/>
    <cellStyle name="20% - Accent1 2 3 5 2 3" xfId="12538" xr:uid="{12E4B76D-7581-4EAC-BD59-8E75FD43D78D}"/>
    <cellStyle name="20% - Accent1 2 3 5 2 4" xfId="20979" xr:uid="{9E602CDD-B1C9-4270-8CD5-E6AA34FB394C}"/>
    <cellStyle name="20% - Accent1 2 3 5 3" xfId="6161" xr:uid="{00000000-0005-0000-0000-00003B000000}"/>
    <cellStyle name="20% - Accent1 2 3 5 3 2" xfId="14611" xr:uid="{B2F94161-2C8F-4BCD-BDCA-64EB9968A8FF}"/>
    <cellStyle name="20% - Accent1 2 3 5 3 3" xfId="23051" xr:uid="{447E29D4-1A4B-4B1C-A857-268DE2AC300C}"/>
    <cellStyle name="20% - Accent1 2 3 5 4" xfId="10393" xr:uid="{2CDF5097-7D37-4E0D-902D-236A395CE338}"/>
    <cellStyle name="20% - Accent1 2 3 5 5" xfId="18834" xr:uid="{C3CEBB8E-EB6F-428C-B5AE-C06466B080C8}"/>
    <cellStyle name="20% - Accent1 2 3 6" xfId="2268" xr:uid="{00000000-0005-0000-0000-00003C000000}"/>
    <cellStyle name="20% - Accent1 2 3 6 2" xfId="6574" xr:uid="{00000000-0005-0000-0000-00003D000000}"/>
    <cellStyle name="20% - Accent1 2 3 6 2 2" xfId="15024" xr:uid="{43B72D05-A1D0-4175-8401-60C955951957}"/>
    <cellStyle name="20% - Accent1 2 3 6 2 3" xfId="23464" xr:uid="{D30B90B0-A8DF-4563-B28F-BBA985876FF4}"/>
    <cellStyle name="20% - Accent1 2 3 6 3" xfId="10806" xr:uid="{BCB2690A-8E87-47C7-9739-CE1E634312F5}"/>
    <cellStyle name="20% - Accent1 2 3 6 4" xfId="19247" xr:uid="{D2C59269-385D-4B84-A831-2B2FB83199AE}"/>
    <cellStyle name="20% - Accent1 2 3 7" xfId="4508" xr:uid="{00000000-0005-0000-0000-00003E000000}"/>
    <cellStyle name="20% - Accent1 2 3 7 2" xfId="12958" xr:uid="{C0AFF8DE-B51F-4255-867A-807D05030E5F}"/>
    <cellStyle name="20% - Accent1 2 3 7 3" xfId="21398" xr:uid="{7939A474-E0E1-4FBA-8FE5-F861E13D0547}"/>
    <cellStyle name="20% - Accent1 2 3 8" xfId="8740" xr:uid="{400CFF7D-7260-43D8-B586-EF897CC6700E}"/>
    <cellStyle name="20% - Accent1 2 3 9" xfId="17181" xr:uid="{A6A33B29-BA7E-4E66-83C4-D6E612FADB3D}"/>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FA84E06F-249D-4EC2-BD73-28BC6D3F0F6A}"/>
    <cellStyle name="20% - Accent1 2 4 2 2 3" xfId="23954" xr:uid="{55392A3C-2083-4A97-B366-D93EA89D6E19}"/>
    <cellStyle name="20% - Accent1 2 4 2 3" xfId="11296" xr:uid="{F6BC0FCB-8987-4998-95E1-419260AC9D9A}"/>
    <cellStyle name="20% - Accent1 2 4 2 4" xfId="19737" xr:uid="{1F304B2F-C09A-4E03-81B4-5F459D850443}"/>
    <cellStyle name="20% - Accent1 2 4 3" xfId="4919" xr:uid="{00000000-0005-0000-0000-000042000000}"/>
    <cellStyle name="20% - Accent1 2 4 3 2" xfId="13369" xr:uid="{C1840AFC-D206-457C-82ED-D3D373E90BD5}"/>
    <cellStyle name="20% - Accent1 2 4 3 3" xfId="21809" xr:uid="{9B7F4D52-0FDD-4FFE-A3D3-350FF76F920F}"/>
    <cellStyle name="20% - Accent1 2 4 4" xfId="9151" xr:uid="{11F23206-BF12-42F3-B298-C60EFB3E7B4D}"/>
    <cellStyle name="20% - Accent1 2 4 5" xfId="17592" xr:uid="{688AC062-6C91-487D-B1E7-2764BF75C3CF}"/>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BF01FA9E-3C8B-4471-8D18-8B725C7BB629}"/>
    <cellStyle name="20% - Accent1 2 5 2 2 3" xfId="24367" xr:uid="{C5CC0DCC-0569-4FC3-86C2-E6AA0C874DB5}"/>
    <cellStyle name="20% - Accent1 2 5 2 3" xfId="11709" xr:uid="{4A8C7F22-95C7-4749-8915-0EA061122C52}"/>
    <cellStyle name="20% - Accent1 2 5 2 4" xfId="20150" xr:uid="{AA522AC5-9737-46CE-8EE7-66F156C4589A}"/>
    <cellStyle name="20% - Accent1 2 5 3" xfId="5332" xr:uid="{00000000-0005-0000-0000-000046000000}"/>
    <cellStyle name="20% - Accent1 2 5 3 2" xfId="13782" xr:uid="{853EDC4C-A590-45F8-8C18-AE2218D008A6}"/>
    <cellStyle name="20% - Accent1 2 5 3 3" xfId="22222" xr:uid="{94FDC6C0-EB15-4E66-8AEF-439C14FCE980}"/>
    <cellStyle name="20% - Accent1 2 5 4" xfId="9564" xr:uid="{39284ABC-DD95-49D2-B79D-2ACAC842B1DF}"/>
    <cellStyle name="20% - Accent1 2 5 5" xfId="18005" xr:uid="{7926C25D-78E3-4CFD-B7DA-CBE5090CB8E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0188B127-66BE-40CE-A855-0E81FB0A089F}"/>
    <cellStyle name="20% - Accent1 2 6 2 2 3" xfId="24780" xr:uid="{0E6AB8FA-AB9F-4F52-BAD7-A0D161184248}"/>
    <cellStyle name="20% - Accent1 2 6 2 3" xfId="12122" xr:uid="{CA97635C-81CC-429B-8B55-B60E1D397B27}"/>
    <cellStyle name="20% - Accent1 2 6 2 4" xfId="20563" xr:uid="{B981FA39-3043-4FBC-860A-DECE90A4B793}"/>
    <cellStyle name="20% - Accent1 2 6 3" xfId="5745" xr:uid="{00000000-0005-0000-0000-00004A000000}"/>
    <cellStyle name="20% - Accent1 2 6 3 2" xfId="14195" xr:uid="{E6FCDA78-DB9D-4270-91D4-176060DA9B86}"/>
    <cellStyle name="20% - Accent1 2 6 3 3" xfId="22635" xr:uid="{7260C8A8-121E-4009-A787-83FFC8BE46AD}"/>
    <cellStyle name="20% - Accent1 2 6 4" xfId="9977" xr:uid="{D275C9F3-8D0F-4A5A-93D7-7C7B54B8AAF6}"/>
    <cellStyle name="20% - Accent1 2 6 5" xfId="18418" xr:uid="{0B7F4C6D-3EC7-486E-B5B2-8D75DBDE97A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E357421D-847C-4F70-BF93-83C78DFE433C}"/>
    <cellStyle name="20% - Accent1 2 7 2 2 3" xfId="25193" xr:uid="{289D7084-3B57-475B-B680-418C234649C1}"/>
    <cellStyle name="20% - Accent1 2 7 2 3" xfId="12535" xr:uid="{E548E7F7-D5B8-4B42-ACD4-4CBFAFFD3DC7}"/>
    <cellStyle name="20% - Accent1 2 7 2 4" xfId="20976" xr:uid="{68511BC2-8CAC-4780-A12A-2DF930CF5AD4}"/>
    <cellStyle name="20% - Accent1 2 7 3" xfId="6158" xr:uid="{00000000-0005-0000-0000-00004E000000}"/>
    <cellStyle name="20% - Accent1 2 7 3 2" xfId="14608" xr:uid="{B74415B1-A764-4DFF-A626-786A7C5EAC47}"/>
    <cellStyle name="20% - Accent1 2 7 3 3" xfId="23048" xr:uid="{53B0D4C5-6BB7-45EB-85A6-C52EC6DA7C14}"/>
    <cellStyle name="20% - Accent1 2 7 4" xfId="10390" xr:uid="{A1505893-93EC-473A-A95B-5952EFB24713}"/>
    <cellStyle name="20% - Accent1 2 7 5" xfId="18831" xr:uid="{0C717B44-DDAC-4651-94B1-5F39CFA0C644}"/>
    <cellStyle name="20% - Accent1 2 8" xfId="2265" xr:uid="{00000000-0005-0000-0000-00004F000000}"/>
    <cellStyle name="20% - Accent1 2 8 2" xfId="6571" xr:uid="{00000000-0005-0000-0000-000050000000}"/>
    <cellStyle name="20% - Accent1 2 8 2 2" xfId="15021" xr:uid="{8E5CD761-3755-4E01-9B9F-1DF599743361}"/>
    <cellStyle name="20% - Accent1 2 8 2 3" xfId="23461" xr:uid="{3B56F490-D266-4220-94D6-4F09E6649A59}"/>
    <cellStyle name="20% - Accent1 2 8 3" xfId="10803" xr:uid="{C3B2462F-8ACF-493F-A559-CBC484AE2DB8}"/>
    <cellStyle name="20% - Accent1 2 8 4" xfId="19244" xr:uid="{F66C9006-D9BB-4113-86E7-B8478171B421}"/>
    <cellStyle name="20% - Accent1 2 9" xfId="4505" xr:uid="{00000000-0005-0000-0000-000051000000}"/>
    <cellStyle name="20% - Accent1 2 9 2" xfId="12955" xr:uid="{97A63FE3-F4BB-47B6-B01C-46CE879D0D5C}"/>
    <cellStyle name="20% - Accent1 2 9 3" xfId="21395" xr:uid="{EB6A4B43-7920-48CD-B7D4-DE46FDA939BE}"/>
    <cellStyle name="20% - Accent1 3" xfId="6" xr:uid="{00000000-0005-0000-0000-000052000000}"/>
    <cellStyle name="20% - Accent1 3 10" xfId="17182" xr:uid="{6A8985F5-AB97-4404-AF43-7AF443EFB8BC}"/>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255DFF57-4ADB-4EB5-8960-1C30C704DE62}"/>
    <cellStyle name="20% - Accent1 3 2 2 2 2 3" xfId="23959" xr:uid="{99F9879B-20AB-4549-8870-AD22CFC6A341}"/>
    <cellStyle name="20% - Accent1 3 2 2 2 3" xfId="11301" xr:uid="{1A8CD980-6B42-45DD-BEA1-7FADB3B96F64}"/>
    <cellStyle name="20% - Accent1 3 2 2 2 4" xfId="19742" xr:uid="{E779EC74-26B8-4995-84EA-B9CB509E5F41}"/>
    <cellStyle name="20% - Accent1 3 2 2 3" xfId="4924" xr:uid="{00000000-0005-0000-0000-000057000000}"/>
    <cellStyle name="20% - Accent1 3 2 2 3 2" xfId="13374" xr:uid="{0BB3C0D3-AB1C-450C-8E95-E28802CEABAA}"/>
    <cellStyle name="20% - Accent1 3 2 2 3 3" xfId="21814" xr:uid="{7468D107-2670-4EB5-BEDB-369990F98BDC}"/>
    <cellStyle name="20% - Accent1 3 2 2 4" xfId="9156" xr:uid="{145F4637-8FBB-4010-A1E5-422FA4CBA369}"/>
    <cellStyle name="20% - Accent1 3 2 2 5" xfId="17597" xr:uid="{6D17FFE4-1839-4723-BC8D-5DF7DF5EAB62}"/>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3AB7A61E-3FE0-49B1-AD97-05F3883FBDD4}"/>
    <cellStyle name="20% - Accent1 3 2 3 2 2 3" xfId="24372" xr:uid="{7035321F-53C5-4440-B820-FB8436174852}"/>
    <cellStyle name="20% - Accent1 3 2 3 2 3" xfId="11714" xr:uid="{FF2FECA6-C788-49BA-8FEB-7B3E6928F8A9}"/>
    <cellStyle name="20% - Accent1 3 2 3 2 4" xfId="20155" xr:uid="{338C0336-A0F9-4966-9736-8F3AC93F91DF}"/>
    <cellStyle name="20% - Accent1 3 2 3 3" xfId="5337" xr:uid="{00000000-0005-0000-0000-00005B000000}"/>
    <cellStyle name="20% - Accent1 3 2 3 3 2" xfId="13787" xr:uid="{88F0DEB3-645F-45C3-B83D-32468BFAC124}"/>
    <cellStyle name="20% - Accent1 3 2 3 3 3" xfId="22227" xr:uid="{ECC9EB14-230B-4A54-94D3-EEBD5DE9DC1B}"/>
    <cellStyle name="20% - Accent1 3 2 3 4" xfId="9569" xr:uid="{053C2128-6F63-4728-954A-428250437B98}"/>
    <cellStyle name="20% - Accent1 3 2 3 5" xfId="18010" xr:uid="{60EF8B94-5C53-4D9A-B968-C0AC6162F37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759FEF00-B4D6-4F75-9E4D-A7C1D4F08C6D}"/>
    <cellStyle name="20% - Accent1 3 2 4 2 2 3" xfId="24785" xr:uid="{09768A56-7080-48A0-84FD-0F95682E858A}"/>
    <cellStyle name="20% - Accent1 3 2 4 2 3" xfId="12127" xr:uid="{8824CCCA-6CC7-4727-8EFB-6CCC09423AD6}"/>
    <cellStyle name="20% - Accent1 3 2 4 2 4" xfId="20568" xr:uid="{A3AC7662-C996-4C01-AF84-AEEC7BC3E91E}"/>
    <cellStyle name="20% - Accent1 3 2 4 3" xfId="5750" xr:uid="{00000000-0005-0000-0000-00005F000000}"/>
    <cellStyle name="20% - Accent1 3 2 4 3 2" xfId="14200" xr:uid="{A239D1C4-A465-4D10-9F60-167872BB980A}"/>
    <cellStyle name="20% - Accent1 3 2 4 3 3" xfId="22640" xr:uid="{A17E8D0D-7908-492D-9727-E69F04C7AEC0}"/>
    <cellStyle name="20% - Accent1 3 2 4 4" xfId="9982" xr:uid="{5E2757C0-3A07-4872-B476-2B3FC1213180}"/>
    <cellStyle name="20% - Accent1 3 2 4 5" xfId="18423" xr:uid="{E757BD29-0C3F-4BB6-ACF4-4FEDE03EF36D}"/>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4F0EE39E-06F4-4F2B-85EC-1E03E34C460B}"/>
    <cellStyle name="20% - Accent1 3 2 5 2 2 3" xfId="25198" xr:uid="{48427FC8-1A57-40F7-B025-F21374DA57A3}"/>
    <cellStyle name="20% - Accent1 3 2 5 2 3" xfId="12540" xr:uid="{AA4D249D-6D2F-4E58-8448-FB9852D9ABA7}"/>
    <cellStyle name="20% - Accent1 3 2 5 2 4" xfId="20981" xr:uid="{256BC753-5B2D-4152-8158-69EF40DCA81A}"/>
    <cellStyle name="20% - Accent1 3 2 5 3" xfId="6163" xr:uid="{00000000-0005-0000-0000-000063000000}"/>
    <cellStyle name="20% - Accent1 3 2 5 3 2" xfId="14613" xr:uid="{8901B5FE-3616-4804-905D-37C1E639F602}"/>
    <cellStyle name="20% - Accent1 3 2 5 3 3" xfId="23053" xr:uid="{91AFEC05-43CD-431A-8607-5712895DA3F4}"/>
    <cellStyle name="20% - Accent1 3 2 5 4" xfId="10395" xr:uid="{4B610E08-0B12-4B27-A277-59BA8DAD3F1D}"/>
    <cellStyle name="20% - Accent1 3 2 5 5" xfId="18836" xr:uid="{1C2E540E-4A5E-41CD-A3D6-FA28C5AC5F1E}"/>
    <cellStyle name="20% - Accent1 3 2 6" xfId="2270" xr:uid="{00000000-0005-0000-0000-000064000000}"/>
    <cellStyle name="20% - Accent1 3 2 6 2" xfId="6576" xr:uid="{00000000-0005-0000-0000-000065000000}"/>
    <cellStyle name="20% - Accent1 3 2 6 2 2" xfId="15026" xr:uid="{29889AE2-7BD1-47EB-9350-C310C2C0BB38}"/>
    <cellStyle name="20% - Accent1 3 2 6 2 3" xfId="23466" xr:uid="{1E91BC46-DA38-4AF6-B3DA-C105B5794698}"/>
    <cellStyle name="20% - Accent1 3 2 6 3" xfId="10808" xr:uid="{FCD2F072-6431-4F40-B6F5-A89872C62482}"/>
    <cellStyle name="20% - Accent1 3 2 6 4" xfId="19249" xr:uid="{2A2E3826-479B-4930-AC5E-9E0E37B3A332}"/>
    <cellStyle name="20% - Accent1 3 2 7" xfId="4510" xr:uid="{00000000-0005-0000-0000-000066000000}"/>
    <cellStyle name="20% - Accent1 3 2 7 2" xfId="12960" xr:uid="{2BD1CED3-D11B-4473-B44C-A3C45D4ED024}"/>
    <cellStyle name="20% - Accent1 3 2 7 3" xfId="21400" xr:uid="{401C5425-46A4-4E0D-B095-F229933EA42A}"/>
    <cellStyle name="20% - Accent1 3 2 8" xfId="8742" xr:uid="{DB0D38E7-A5E9-415B-B611-FB5619D58495}"/>
    <cellStyle name="20% - Accent1 3 2 9" xfId="17183" xr:uid="{0201C64A-9FD3-4265-B267-A4D0CD4D512A}"/>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EEDF6009-5330-4901-A280-1206EBE85FC8}"/>
    <cellStyle name="20% - Accent1 3 3 2 2 3" xfId="23958" xr:uid="{E05B47AC-7A35-47CF-A837-B9426BDBA872}"/>
    <cellStyle name="20% - Accent1 3 3 2 3" xfId="11300" xr:uid="{E51CA066-5138-4D94-9459-B6ACACCCA844}"/>
    <cellStyle name="20% - Accent1 3 3 2 4" xfId="19741" xr:uid="{368F5BB3-FD91-47A4-9752-0E5557384A0B}"/>
    <cellStyle name="20% - Accent1 3 3 3" xfId="4923" xr:uid="{00000000-0005-0000-0000-00006A000000}"/>
    <cellStyle name="20% - Accent1 3 3 3 2" xfId="13373" xr:uid="{4A4385D2-7BF4-4041-BBD3-9D46A843502A}"/>
    <cellStyle name="20% - Accent1 3 3 3 3" xfId="21813" xr:uid="{BD3D9A68-06FF-4480-A2C2-1798F13E6AC5}"/>
    <cellStyle name="20% - Accent1 3 3 4" xfId="9155" xr:uid="{AD64FAFD-0AB8-4996-B3D9-F2D3FE0FEFC2}"/>
    <cellStyle name="20% - Accent1 3 3 5" xfId="17596" xr:uid="{4D724952-A86E-44E3-8896-F15E39A9371B}"/>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79AF92A8-852A-4CC4-BD3F-68C48E966452}"/>
    <cellStyle name="20% - Accent1 3 4 2 2 3" xfId="24371" xr:uid="{54637C5D-500C-4137-8D41-98A69E5255FA}"/>
    <cellStyle name="20% - Accent1 3 4 2 3" xfId="11713" xr:uid="{6C1D21F9-10B7-454A-872A-E73F91544750}"/>
    <cellStyle name="20% - Accent1 3 4 2 4" xfId="20154" xr:uid="{A51C64D1-83DB-4254-8208-D08113636B94}"/>
    <cellStyle name="20% - Accent1 3 4 3" xfId="5336" xr:uid="{00000000-0005-0000-0000-00006E000000}"/>
    <cellStyle name="20% - Accent1 3 4 3 2" xfId="13786" xr:uid="{8BAC612E-2C10-4320-BE6F-D29FE8FBF7B2}"/>
    <cellStyle name="20% - Accent1 3 4 3 3" xfId="22226" xr:uid="{96C89D41-EB52-430F-B583-DE3897783EA1}"/>
    <cellStyle name="20% - Accent1 3 4 4" xfId="9568" xr:uid="{167ED3CA-8DF8-48EE-A6C1-917F8FA3D3D6}"/>
    <cellStyle name="20% - Accent1 3 4 5" xfId="18009" xr:uid="{1585608A-E992-4A92-82AF-C3F5031F01A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ABBB1F48-C09B-4DF3-AAC8-44BFAAEF2AC7}"/>
    <cellStyle name="20% - Accent1 3 5 2 2 3" xfId="24784" xr:uid="{ADC51DE8-02CC-4A23-850C-A466536E2B97}"/>
    <cellStyle name="20% - Accent1 3 5 2 3" xfId="12126" xr:uid="{B3183F88-80A2-4217-B57F-C45DC884CD7C}"/>
    <cellStyle name="20% - Accent1 3 5 2 4" xfId="20567" xr:uid="{FDAAA531-C277-477B-AB7E-03046E600420}"/>
    <cellStyle name="20% - Accent1 3 5 3" xfId="5749" xr:uid="{00000000-0005-0000-0000-000072000000}"/>
    <cellStyle name="20% - Accent1 3 5 3 2" xfId="14199" xr:uid="{804BE7D8-DA6E-4F55-A479-61836D228943}"/>
    <cellStyle name="20% - Accent1 3 5 3 3" xfId="22639" xr:uid="{D5B98C52-2393-40A6-9555-32955BDC8868}"/>
    <cellStyle name="20% - Accent1 3 5 4" xfId="9981" xr:uid="{16A79F59-C260-4607-B422-E9A431A07380}"/>
    <cellStyle name="20% - Accent1 3 5 5" xfId="18422" xr:uid="{83346FD4-B4F4-48D9-BCA2-73DC4B8FA11A}"/>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B03E5C6B-9F4F-4A22-89E1-BDB4FD2D847B}"/>
    <cellStyle name="20% - Accent1 3 6 2 2 3" xfId="25197" xr:uid="{B25988FA-D17C-4AE8-B6E4-69F8B6765E67}"/>
    <cellStyle name="20% - Accent1 3 6 2 3" xfId="12539" xr:uid="{4097B3E2-176D-4C2F-91F7-1539980BF6AD}"/>
    <cellStyle name="20% - Accent1 3 6 2 4" xfId="20980" xr:uid="{07BEEF34-3B69-4AC9-8242-DC930FC2F7E3}"/>
    <cellStyle name="20% - Accent1 3 6 3" xfId="6162" xr:uid="{00000000-0005-0000-0000-000076000000}"/>
    <cellStyle name="20% - Accent1 3 6 3 2" xfId="14612" xr:uid="{D6B59360-DC85-481D-A2FF-22AD93E41180}"/>
    <cellStyle name="20% - Accent1 3 6 3 3" xfId="23052" xr:uid="{05F18917-2B09-4493-ABEF-3D3B3B541ADE}"/>
    <cellStyle name="20% - Accent1 3 6 4" xfId="10394" xr:uid="{C4680C71-D43C-4829-A548-3A3A71A994FD}"/>
    <cellStyle name="20% - Accent1 3 6 5" xfId="18835" xr:uid="{D829C8C1-A043-4497-B712-F3732CD1B46B}"/>
    <cellStyle name="20% - Accent1 3 7" xfId="2269" xr:uid="{00000000-0005-0000-0000-000077000000}"/>
    <cellStyle name="20% - Accent1 3 7 2" xfId="6575" xr:uid="{00000000-0005-0000-0000-000078000000}"/>
    <cellStyle name="20% - Accent1 3 7 2 2" xfId="15025" xr:uid="{89880652-35E8-4F40-AF4E-99D821E846D4}"/>
    <cellStyle name="20% - Accent1 3 7 2 3" xfId="23465" xr:uid="{61AA080E-B22E-493D-9AE3-9F99B9136B65}"/>
    <cellStyle name="20% - Accent1 3 7 3" xfId="10807" xr:uid="{344C4557-E7B4-44FC-891F-8E252E5F95DE}"/>
    <cellStyle name="20% - Accent1 3 7 4" xfId="19248" xr:uid="{B3D3ACE7-985B-4AA7-BB15-007B6F82A540}"/>
    <cellStyle name="20% - Accent1 3 8" xfId="4509" xr:uid="{00000000-0005-0000-0000-000079000000}"/>
    <cellStyle name="20% - Accent1 3 8 2" xfId="12959" xr:uid="{6F3CB3D5-E505-4708-8C32-75DDA5034007}"/>
    <cellStyle name="20% - Accent1 3 8 3" xfId="21399" xr:uid="{2225BF47-45A1-4FC7-B203-5FF620BA93E5}"/>
    <cellStyle name="20% - Accent1 3 9" xfId="8741" xr:uid="{91AC19DD-272B-4BA5-BC03-E7B327D641EC}"/>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DF82F1C7-DFFB-4520-B6B7-DCBF5E5D56CD}"/>
    <cellStyle name="20% - Accent1 4 2 2 2 3" xfId="23960" xr:uid="{27FAB502-8697-4BF8-99A9-76DC67DEA2BF}"/>
    <cellStyle name="20% - Accent1 4 2 2 3" xfId="11302" xr:uid="{1418D2AD-2619-4E06-BE49-C6BEDC8604BD}"/>
    <cellStyle name="20% - Accent1 4 2 2 4" xfId="19743" xr:uid="{976C48CC-5BD7-4BA0-824B-9A3D7019C706}"/>
    <cellStyle name="20% - Accent1 4 2 3" xfId="4925" xr:uid="{00000000-0005-0000-0000-00007E000000}"/>
    <cellStyle name="20% - Accent1 4 2 3 2" xfId="13375" xr:uid="{6F18D1EE-84E1-46AF-BC75-356F3380F59B}"/>
    <cellStyle name="20% - Accent1 4 2 3 3" xfId="21815" xr:uid="{4BD00AED-7535-4C8F-9245-E2C731AE280E}"/>
    <cellStyle name="20% - Accent1 4 2 4" xfId="9157" xr:uid="{76D3259A-90E0-44D7-BFA3-B2CA2FF59568}"/>
    <cellStyle name="20% - Accent1 4 2 5" xfId="17598" xr:uid="{CAA6AB10-ECCA-4130-BF64-64DEF1BD6729}"/>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7800A30E-F35F-4654-B8EF-F7F113520CAD}"/>
    <cellStyle name="20% - Accent1 4 3 2 2 3" xfId="24373" xr:uid="{949EC4ED-FA97-4598-8D80-155001FB105E}"/>
    <cellStyle name="20% - Accent1 4 3 2 3" xfId="11715" xr:uid="{40FDD99B-E16E-493E-A294-34701C46E6EF}"/>
    <cellStyle name="20% - Accent1 4 3 2 4" xfId="20156" xr:uid="{A5F55E0A-7C88-4F57-AE59-C932B9EE1FEF}"/>
    <cellStyle name="20% - Accent1 4 3 3" xfId="5338" xr:uid="{00000000-0005-0000-0000-000082000000}"/>
    <cellStyle name="20% - Accent1 4 3 3 2" xfId="13788" xr:uid="{38D99D1F-1A50-4771-803F-CFBCD9D62FD8}"/>
    <cellStyle name="20% - Accent1 4 3 3 3" xfId="22228" xr:uid="{C3A66D2E-43C6-48AD-A826-3D846C85996E}"/>
    <cellStyle name="20% - Accent1 4 3 4" xfId="9570" xr:uid="{AD6A6B49-670D-4FBB-957B-1FBE7FC65DED}"/>
    <cellStyle name="20% - Accent1 4 3 5" xfId="18011" xr:uid="{052E715F-6D89-4C7A-994B-692914CA89B7}"/>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29FBAE16-80B7-49C1-A5CA-2FEA33D6C3BF}"/>
    <cellStyle name="20% - Accent1 4 4 2 2 3" xfId="24786" xr:uid="{971DD17D-2304-4C1E-96F7-38A95C1A9537}"/>
    <cellStyle name="20% - Accent1 4 4 2 3" xfId="12128" xr:uid="{AB3E1695-9C1A-472C-BA7B-8E3B3A0A3209}"/>
    <cellStyle name="20% - Accent1 4 4 2 4" xfId="20569" xr:uid="{3EF672A8-092B-49BA-B56F-6911DEBE4432}"/>
    <cellStyle name="20% - Accent1 4 4 3" xfId="5751" xr:uid="{00000000-0005-0000-0000-000086000000}"/>
    <cellStyle name="20% - Accent1 4 4 3 2" xfId="14201" xr:uid="{9D659934-3E62-4F53-B197-0D24521E2863}"/>
    <cellStyle name="20% - Accent1 4 4 3 3" xfId="22641" xr:uid="{CEA2BB10-5FE1-4772-869F-65AA8D34FC06}"/>
    <cellStyle name="20% - Accent1 4 4 4" xfId="9983" xr:uid="{9EE1E5A0-7F02-4B04-B8F6-24BA507B5558}"/>
    <cellStyle name="20% - Accent1 4 4 5" xfId="18424" xr:uid="{949BA300-50F4-4DE8-8C79-45B74ADC70B6}"/>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6EF0DD4C-171D-4481-85EF-925CCB6BF9FA}"/>
    <cellStyle name="20% - Accent1 4 5 2 2 3" xfId="25199" xr:uid="{00FAF447-BF56-42DD-A5B2-569C9D48E0DA}"/>
    <cellStyle name="20% - Accent1 4 5 2 3" xfId="12541" xr:uid="{E46310EA-8AD4-4430-A913-35B3F14D2056}"/>
    <cellStyle name="20% - Accent1 4 5 2 4" xfId="20982" xr:uid="{9405EAE5-0D44-498D-80BC-20B616A56F72}"/>
    <cellStyle name="20% - Accent1 4 5 3" xfId="6164" xr:uid="{00000000-0005-0000-0000-00008A000000}"/>
    <cellStyle name="20% - Accent1 4 5 3 2" xfId="14614" xr:uid="{23400CF4-372D-45B1-A76E-B77882FD325E}"/>
    <cellStyle name="20% - Accent1 4 5 3 3" xfId="23054" xr:uid="{E1B5D308-1060-4252-9B81-DC9844F5EEA1}"/>
    <cellStyle name="20% - Accent1 4 5 4" xfId="10396" xr:uid="{581A04A3-85E2-40F6-A17C-2A157D83F80A}"/>
    <cellStyle name="20% - Accent1 4 5 5" xfId="18837" xr:uid="{E5FE3136-0A84-48B6-85FB-678FB8D929F4}"/>
    <cellStyle name="20% - Accent1 4 6" xfId="2271" xr:uid="{00000000-0005-0000-0000-00008B000000}"/>
    <cellStyle name="20% - Accent1 4 6 2" xfId="6577" xr:uid="{00000000-0005-0000-0000-00008C000000}"/>
    <cellStyle name="20% - Accent1 4 6 2 2" xfId="15027" xr:uid="{E291E675-3565-4845-A086-CD703DC41CE0}"/>
    <cellStyle name="20% - Accent1 4 6 2 3" xfId="23467" xr:uid="{8FDA3576-6625-45BD-A146-C666BEB19950}"/>
    <cellStyle name="20% - Accent1 4 6 3" xfId="10809" xr:uid="{2613EF82-73F7-465F-8D3C-4870A8883028}"/>
    <cellStyle name="20% - Accent1 4 6 4" xfId="19250" xr:uid="{C0CD5521-CA67-40C5-94F4-6295F0476E02}"/>
    <cellStyle name="20% - Accent1 4 7" xfId="4511" xr:uid="{00000000-0005-0000-0000-00008D000000}"/>
    <cellStyle name="20% - Accent1 4 7 2" xfId="12961" xr:uid="{E4638C57-A074-40E3-88DC-133A026A1398}"/>
    <cellStyle name="20% - Accent1 4 7 3" xfId="21401" xr:uid="{A538F015-9889-43E3-80A6-6CD9A8B29520}"/>
    <cellStyle name="20% - Accent1 4 8" xfId="8743" xr:uid="{20DCA51F-BEAA-46F3-8138-EEC31ACE524C}"/>
    <cellStyle name="20% - Accent1 4 9" xfId="17184" xr:uid="{B3BA20FC-8C5A-46DA-AB61-FA558E044B21}"/>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0D6206B3-CE7C-4A6D-9896-A7906232165B}"/>
    <cellStyle name="20% - Accent1 5 2 2 3" xfId="23953" xr:uid="{80FFA5B4-F70F-4DCF-8415-36B51707C463}"/>
    <cellStyle name="20% - Accent1 5 2 3" xfId="11295" xr:uid="{9127095D-E396-4B8C-8172-A7F6837B8F06}"/>
    <cellStyle name="20% - Accent1 5 2 4" xfId="19736" xr:uid="{5C21178D-C3C9-490D-A94E-A101DB08FAA9}"/>
    <cellStyle name="20% - Accent1 5 3" xfId="4918" xr:uid="{00000000-0005-0000-0000-000091000000}"/>
    <cellStyle name="20% - Accent1 5 3 2" xfId="13368" xr:uid="{52C41971-6BB8-43E3-AA04-4C350C45F41C}"/>
    <cellStyle name="20% - Accent1 5 3 3" xfId="21808" xr:uid="{597ADBB8-B937-44DF-ADD6-49E6E6C7EC96}"/>
    <cellStyle name="20% - Accent1 5 4" xfId="9150" xr:uid="{1AC4ED8E-70A4-4E0C-80F2-915E3840FEE5}"/>
    <cellStyle name="20% - Accent1 5 5" xfId="17591" xr:uid="{2002A294-DFCA-4009-B8E4-2329F3E9C5ED}"/>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E0F148CB-F4AF-44B6-9FDC-2095B1653E29}"/>
    <cellStyle name="20% - Accent1 6 2 2 3" xfId="24366" xr:uid="{C127534A-DE74-437E-992C-0C902CDE15DD}"/>
    <cellStyle name="20% - Accent1 6 2 3" xfId="11708" xr:uid="{A7600765-F2C1-4500-9B4F-B5972170E012}"/>
    <cellStyle name="20% - Accent1 6 2 4" xfId="20149" xr:uid="{9361FA85-E549-4F69-AF56-296CDDA6D0AB}"/>
    <cellStyle name="20% - Accent1 6 3" xfId="5331" xr:uid="{00000000-0005-0000-0000-000095000000}"/>
    <cellStyle name="20% - Accent1 6 3 2" xfId="13781" xr:uid="{A1C124B0-7D74-459C-8670-18E775D0419A}"/>
    <cellStyle name="20% - Accent1 6 3 3" xfId="22221" xr:uid="{597CD97B-3760-402B-A901-99B8D6628E6D}"/>
    <cellStyle name="20% - Accent1 6 4" xfId="9563" xr:uid="{4647BF5C-E2AB-414D-AB3A-E243DEB483CD}"/>
    <cellStyle name="20% - Accent1 6 5" xfId="18004" xr:uid="{4707E504-4143-454F-86EB-B4C08F01A42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E8D73C89-E3FA-4996-9C3F-E019FEE3E59C}"/>
    <cellStyle name="20% - Accent1 7 2 2 3" xfId="24779" xr:uid="{2DD2EEC5-B323-4AE9-AA52-2511F942A56C}"/>
    <cellStyle name="20% - Accent1 7 2 3" xfId="12121" xr:uid="{B425FAD0-4769-4F58-A323-49123167FEC9}"/>
    <cellStyle name="20% - Accent1 7 2 4" xfId="20562" xr:uid="{FF7EC6F5-E2B1-40B0-BF81-4EB0008EC1F3}"/>
    <cellStyle name="20% - Accent1 7 3" xfId="5744" xr:uid="{00000000-0005-0000-0000-000099000000}"/>
    <cellStyle name="20% - Accent1 7 3 2" xfId="14194" xr:uid="{47C23DC0-001C-4B3E-A711-1B2058A5DFAC}"/>
    <cellStyle name="20% - Accent1 7 3 3" xfId="22634" xr:uid="{B77C3ADA-A642-4AA5-8B08-46DD0AB5FBD9}"/>
    <cellStyle name="20% - Accent1 7 4" xfId="9976" xr:uid="{70E74BCA-530A-4C43-8944-4A09FBCD1185}"/>
    <cellStyle name="20% - Accent1 7 5" xfId="18417" xr:uid="{48DBA4FE-8CA5-4FCB-B94E-2D390B766F52}"/>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29E14B1F-3DF1-4027-AF9D-76B7E7D9DD2E}"/>
    <cellStyle name="20% - Accent1 8 2 2 3" xfId="25192" xr:uid="{8F002D09-74F6-46D3-8B02-6F8192B354B5}"/>
    <cellStyle name="20% - Accent1 8 2 3" xfId="12534" xr:uid="{FA5EBA86-2F5D-48F1-81ED-5A98DA58EB22}"/>
    <cellStyle name="20% - Accent1 8 2 4" xfId="20975" xr:uid="{4DBF1211-63F8-4A76-9D30-885E7AD2BC58}"/>
    <cellStyle name="20% - Accent1 8 3" xfId="6157" xr:uid="{00000000-0005-0000-0000-00009D000000}"/>
    <cellStyle name="20% - Accent1 8 3 2" xfId="14607" xr:uid="{9EB4A78F-6CF5-4E10-A75A-6132CDC87096}"/>
    <cellStyle name="20% - Accent1 8 3 3" xfId="23047" xr:uid="{824AEAE4-5E90-43AC-AA48-5C4C15CD17DD}"/>
    <cellStyle name="20% - Accent1 8 4" xfId="10389" xr:uid="{F9B1F385-07C6-4603-8374-274E73C9BDD8}"/>
    <cellStyle name="20% - Accent1 8 5" xfId="18830" xr:uid="{4305279C-D441-468B-9264-37FF2A9C5BF3}"/>
    <cellStyle name="20% - Accent1 9" xfId="2264" xr:uid="{00000000-0005-0000-0000-00009E000000}"/>
    <cellStyle name="20% - Accent1 9 2" xfId="6570" xr:uid="{00000000-0005-0000-0000-00009F000000}"/>
    <cellStyle name="20% - Accent1 9 2 2" xfId="15020" xr:uid="{815CA6DE-519C-4585-919F-629836E4748F}"/>
    <cellStyle name="20% - Accent1 9 2 3" xfId="23460" xr:uid="{61B1257B-43AC-40A7-B859-230C39131057}"/>
    <cellStyle name="20% - Accent1 9 3" xfId="10802" xr:uid="{72488E1E-E799-495B-9C7A-D6065195B4A2}"/>
    <cellStyle name="20% - Accent1 9 4" xfId="19243" xr:uid="{7EC89644-060E-410F-BAB8-927F25AE4FB2}"/>
    <cellStyle name="20% - Accent2" xfId="9" builtinId="34" customBuiltin="1"/>
    <cellStyle name="20% - Accent2 10" xfId="4512" xr:uid="{00000000-0005-0000-0000-0000A1000000}"/>
    <cellStyle name="20% - Accent2 10 2" xfId="12962" xr:uid="{A30B38C7-3C6B-4519-A7DC-36BFB1512993}"/>
    <cellStyle name="20% - Accent2 10 3" xfId="21402" xr:uid="{8E403626-94B8-4D31-BBDD-82513A48E2DF}"/>
    <cellStyle name="20% - Accent2 11" xfId="8744" xr:uid="{FCF6DF52-AB6B-40BA-948E-0755BC5AEC2B}"/>
    <cellStyle name="20% - Accent2 12" xfId="17185" xr:uid="{20906AD0-674F-40B7-AB39-186DC40BF327}"/>
    <cellStyle name="20% - Accent2 2" xfId="10" xr:uid="{00000000-0005-0000-0000-0000A2000000}"/>
    <cellStyle name="20% - Accent2 2 10" xfId="8745" xr:uid="{38191BBA-769D-4461-80D4-6677B4BFADC8}"/>
    <cellStyle name="20% - Accent2 2 11" xfId="17186" xr:uid="{3C54D692-91DD-4271-AF5A-F488586C709C}"/>
    <cellStyle name="20% - Accent2 2 2" xfId="11" xr:uid="{00000000-0005-0000-0000-0000A3000000}"/>
    <cellStyle name="20% - Accent2 2 2 10" xfId="17187" xr:uid="{E1B6D935-E34E-4BBB-8841-8248EE612D4F}"/>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AEDD22A0-F0CC-4C52-8704-FFA8238242A1}"/>
    <cellStyle name="20% - Accent2 2 2 2 2 2 2 3" xfId="23964" xr:uid="{4F9B67A5-BF3B-4EA2-8508-9AEEAA037A89}"/>
    <cellStyle name="20% - Accent2 2 2 2 2 2 3" xfId="11306" xr:uid="{654235A8-C658-4CB0-92E0-6BCC554C829E}"/>
    <cellStyle name="20% - Accent2 2 2 2 2 2 4" xfId="19747" xr:uid="{A651D7C5-EB5F-4D7D-9C30-686E3A003AE4}"/>
    <cellStyle name="20% - Accent2 2 2 2 2 3" xfId="4929" xr:uid="{00000000-0005-0000-0000-0000A8000000}"/>
    <cellStyle name="20% - Accent2 2 2 2 2 3 2" xfId="13379" xr:uid="{9EC756F2-8B87-4AD7-ADEE-AAC592950EBA}"/>
    <cellStyle name="20% - Accent2 2 2 2 2 3 3" xfId="21819" xr:uid="{4E582DC6-92E0-479D-BD9D-A32D83BE3112}"/>
    <cellStyle name="20% - Accent2 2 2 2 2 4" xfId="9161" xr:uid="{580FD67D-77CB-452E-A1E3-50D97BDF197E}"/>
    <cellStyle name="20% - Accent2 2 2 2 2 5" xfId="17602" xr:uid="{95DC1088-3BDF-41AE-BF9F-A90F9D26B541}"/>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8F4A6560-91AC-430A-A8B8-F6BD39C52C68}"/>
    <cellStyle name="20% - Accent2 2 2 2 3 2 2 3" xfId="24377" xr:uid="{8C3CAC6C-9196-41AC-B654-26EB61FCA2C0}"/>
    <cellStyle name="20% - Accent2 2 2 2 3 2 3" xfId="11719" xr:uid="{F1E8FD69-5B8F-4A37-BAB4-170944956946}"/>
    <cellStyle name="20% - Accent2 2 2 2 3 2 4" xfId="20160" xr:uid="{9E7D7DE0-71B6-499B-8A9C-C7578D88FFBB}"/>
    <cellStyle name="20% - Accent2 2 2 2 3 3" xfId="5342" xr:uid="{00000000-0005-0000-0000-0000AC000000}"/>
    <cellStyle name="20% - Accent2 2 2 2 3 3 2" xfId="13792" xr:uid="{0F5858D5-6F10-4591-BC7B-5A13B798BFED}"/>
    <cellStyle name="20% - Accent2 2 2 2 3 3 3" xfId="22232" xr:uid="{635D526A-528A-443B-A672-2D191164413C}"/>
    <cellStyle name="20% - Accent2 2 2 2 3 4" xfId="9574" xr:uid="{B1F9BAD6-5157-4276-8329-643491628FC5}"/>
    <cellStyle name="20% - Accent2 2 2 2 3 5" xfId="18015" xr:uid="{297CDB74-DB3A-4A8C-A87C-2E71DD46B5E3}"/>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ABDA4E96-4FE9-44FB-A18B-AFFCB8373DE2}"/>
    <cellStyle name="20% - Accent2 2 2 2 4 2 2 3" xfId="24790" xr:uid="{EBFE2C8B-1B05-4BF8-9CEB-C00658A6D9DA}"/>
    <cellStyle name="20% - Accent2 2 2 2 4 2 3" xfId="12132" xr:uid="{D182CA71-6101-43C2-80D5-22F3D0BC55EA}"/>
    <cellStyle name="20% - Accent2 2 2 2 4 2 4" xfId="20573" xr:uid="{DE2FC725-63DE-4C8B-828C-69E0FB48A8AD}"/>
    <cellStyle name="20% - Accent2 2 2 2 4 3" xfId="5755" xr:uid="{00000000-0005-0000-0000-0000B0000000}"/>
    <cellStyle name="20% - Accent2 2 2 2 4 3 2" xfId="14205" xr:uid="{7FD6ECE6-52A3-432C-A48D-F69239F63F96}"/>
    <cellStyle name="20% - Accent2 2 2 2 4 3 3" xfId="22645" xr:uid="{6A7BC833-265B-4669-B479-FC185C3AB323}"/>
    <cellStyle name="20% - Accent2 2 2 2 4 4" xfId="9987" xr:uid="{95CA5727-1A7D-4B51-AD13-C270D865874D}"/>
    <cellStyle name="20% - Accent2 2 2 2 4 5" xfId="18428" xr:uid="{D2F922CE-A590-4CAD-AAA1-A4C678D9194A}"/>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F7F25119-9CFD-4AA5-80DB-81D9E16E5FB6}"/>
    <cellStyle name="20% - Accent2 2 2 2 5 2 2 3" xfId="25203" xr:uid="{FF747154-BA03-418E-982A-15D5855231F5}"/>
    <cellStyle name="20% - Accent2 2 2 2 5 2 3" xfId="12545" xr:uid="{86403822-BB03-4B02-AE6D-75271EC6E6DE}"/>
    <cellStyle name="20% - Accent2 2 2 2 5 2 4" xfId="20986" xr:uid="{7FD2C5B8-8B2B-4E7E-8C2B-B3BC3EC52ED8}"/>
    <cellStyle name="20% - Accent2 2 2 2 5 3" xfId="6168" xr:uid="{00000000-0005-0000-0000-0000B4000000}"/>
    <cellStyle name="20% - Accent2 2 2 2 5 3 2" xfId="14618" xr:uid="{5475087C-D5EE-4B0A-80E5-01F47FDEB98D}"/>
    <cellStyle name="20% - Accent2 2 2 2 5 3 3" xfId="23058" xr:uid="{75492E47-9551-49A0-A5AF-D1BFE164F3A0}"/>
    <cellStyle name="20% - Accent2 2 2 2 5 4" xfId="10400" xr:uid="{B100F5C2-E9C0-43F9-8F6F-EBFB31172EF0}"/>
    <cellStyle name="20% - Accent2 2 2 2 5 5" xfId="18841" xr:uid="{5ED128B9-982F-4252-809F-39F4DA90051D}"/>
    <cellStyle name="20% - Accent2 2 2 2 6" xfId="2275" xr:uid="{00000000-0005-0000-0000-0000B5000000}"/>
    <cellStyle name="20% - Accent2 2 2 2 6 2" xfId="6581" xr:uid="{00000000-0005-0000-0000-0000B6000000}"/>
    <cellStyle name="20% - Accent2 2 2 2 6 2 2" xfId="15031" xr:uid="{46D85E22-F9F7-4A9D-A04C-F67634E5DBFF}"/>
    <cellStyle name="20% - Accent2 2 2 2 6 2 3" xfId="23471" xr:uid="{D59F8537-82AC-48FD-B91D-F82CC80A1B42}"/>
    <cellStyle name="20% - Accent2 2 2 2 6 3" xfId="10813" xr:uid="{AA55BF75-FA31-4D7C-9D96-B89570501740}"/>
    <cellStyle name="20% - Accent2 2 2 2 6 4" xfId="19254" xr:uid="{B239B122-9795-4669-BA2D-08576BC95C90}"/>
    <cellStyle name="20% - Accent2 2 2 2 7" xfId="4515" xr:uid="{00000000-0005-0000-0000-0000B7000000}"/>
    <cellStyle name="20% - Accent2 2 2 2 7 2" xfId="12965" xr:uid="{73849128-EB59-4343-9A17-087C94ECE535}"/>
    <cellStyle name="20% - Accent2 2 2 2 7 3" xfId="21405" xr:uid="{285BDAA7-4EDE-4509-A831-334EFE9CA44B}"/>
    <cellStyle name="20% - Accent2 2 2 2 8" xfId="8747" xr:uid="{B1E6AE0C-757C-4020-9CA6-AE1ECD1A1383}"/>
    <cellStyle name="20% - Accent2 2 2 2 9" xfId="17188" xr:uid="{0CBE8965-A156-4408-B50D-4079F932FD0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2ED7DFD9-3083-41DF-8073-D992F264E212}"/>
    <cellStyle name="20% - Accent2 2 2 3 2 2 3" xfId="23963" xr:uid="{EC2E1927-98AF-4D0A-A296-EE3606A7E69F}"/>
    <cellStyle name="20% - Accent2 2 2 3 2 3" xfId="11305" xr:uid="{79410476-4C27-49AD-90EE-532F40D73C43}"/>
    <cellStyle name="20% - Accent2 2 2 3 2 4" xfId="19746" xr:uid="{59D1D51F-91A3-4365-863D-76999D9B825C}"/>
    <cellStyle name="20% - Accent2 2 2 3 3" xfId="4928" xr:uid="{00000000-0005-0000-0000-0000BB000000}"/>
    <cellStyle name="20% - Accent2 2 2 3 3 2" xfId="13378" xr:uid="{56D7EF5D-56CF-4E7A-85BD-1EE06617B32B}"/>
    <cellStyle name="20% - Accent2 2 2 3 3 3" xfId="21818" xr:uid="{6E1827F3-77BE-4AB0-A950-F836D8A4142F}"/>
    <cellStyle name="20% - Accent2 2 2 3 4" xfId="9160" xr:uid="{067C8845-42BB-42EE-80DB-D284E56E1795}"/>
    <cellStyle name="20% - Accent2 2 2 3 5" xfId="17601" xr:uid="{1B16A3DD-5237-47D6-BF4B-B7BB99BB1F0A}"/>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58F61418-0A1D-4586-9212-435E550D3928}"/>
    <cellStyle name="20% - Accent2 2 2 4 2 2 3" xfId="24376" xr:uid="{FE02477B-C795-4931-9CFF-F4C91CBD68BB}"/>
    <cellStyle name="20% - Accent2 2 2 4 2 3" xfId="11718" xr:uid="{3C9DAAC0-4166-442A-88ED-7B3E9CD0AAE2}"/>
    <cellStyle name="20% - Accent2 2 2 4 2 4" xfId="20159" xr:uid="{3FD82640-BE20-417E-A9C3-8760372B30B4}"/>
    <cellStyle name="20% - Accent2 2 2 4 3" xfId="5341" xr:uid="{00000000-0005-0000-0000-0000BF000000}"/>
    <cellStyle name="20% - Accent2 2 2 4 3 2" xfId="13791" xr:uid="{235D4024-A588-4952-BF48-A5AEAAA6BA8F}"/>
    <cellStyle name="20% - Accent2 2 2 4 3 3" xfId="22231" xr:uid="{3DEBED0A-FFFD-460E-BF28-98E9C7F6D443}"/>
    <cellStyle name="20% - Accent2 2 2 4 4" xfId="9573" xr:uid="{0A66A46E-6127-4342-A612-1E9C9DD7C1A5}"/>
    <cellStyle name="20% - Accent2 2 2 4 5" xfId="18014" xr:uid="{9CE91BBB-266C-428A-BA0D-ED9D7DD38041}"/>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3AE40FDB-D21E-4BCA-B020-39737ADDCC9C}"/>
    <cellStyle name="20% - Accent2 2 2 5 2 2 3" xfId="24789" xr:uid="{FCFD2552-5156-4405-9521-F12193937C90}"/>
    <cellStyle name="20% - Accent2 2 2 5 2 3" xfId="12131" xr:uid="{70549105-43C4-48C7-8F9A-69F8D4883407}"/>
    <cellStyle name="20% - Accent2 2 2 5 2 4" xfId="20572" xr:uid="{B5C9AC6A-966F-4A9A-AAA6-1AF76419C269}"/>
    <cellStyle name="20% - Accent2 2 2 5 3" xfId="5754" xr:uid="{00000000-0005-0000-0000-0000C3000000}"/>
    <cellStyle name="20% - Accent2 2 2 5 3 2" xfId="14204" xr:uid="{22701CD2-C414-499D-8781-10281387740B}"/>
    <cellStyle name="20% - Accent2 2 2 5 3 3" xfId="22644" xr:uid="{65ED7436-C43E-4A02-8BB4-0DD1A9994CD1}"/>
    <cellStyle name="20% - Accent2 2 2 5 4" xfId="9986" xr:uid="{1FFBB553-7AE8-4FE8-8D07-E4067FBD8185}"/>
    <cellStyle name="20% - Accent2 2 2 5 5" xfId="18427" xr:uid="{A49EF83E-112E-4431-898A-082EE99005FE}"/>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F3E212D7-3234-41E9-B8F5-B5E5E8D12249}"/>
    <cellStyle name="20% - Accent2 2 2 6 2 2 3" xfId="25202" xr:uid="{D6E4D574-5327-4E3F-97F7-C33E185C5103}"/>
    <cellStyle name="20% - Accent2 2 2 6 2 3" xfId="12544" xr:uid="{A73790B0-4791-4214-8513-BA089DB1CA50}"/>
    <cellStyle name="20% - Accent2 2 2 6 2 4" xfId="20985" xr:uid="{7BE00C15-8BDB-45BB-8A3C-19974BC5E94A}"/>
    <cellStyle name="20% - Accent2 2 2 6 3" xfId="6167" xr:uid="{00000000-0005-0000-0000-0000C7000000}"/>
    <cellStyle name="20% - Accent2 2 2 6 3 2" xfId="14617" xr:uid="{765D1C19-8FF6-4E00-8AFC-715AD837239E}"/>
    <cellStyle name="20% - Accent2 2 2 6 3 3" xfId="23057" xr:uid="{062D682F-FBF2-4766-88FB-584353C0479B}"/>
    <cellStyle name="20% - Accent2 2 2 6 4" xfId="10399" xr:uid="{F5E818E3-AF8E-4657-85A4-DDF57F6B47A4}"/>
    <cellStyle name="20% - Accent2 2 2 6 5" xfId="18840" xr:uid="{2DFBD377-D6A2-48D1-A89C-3B3C0B962CC1}"/>
    <cellStyle name="20% - Accent2 2 2 7" xfId="2274" xr:uid="{00000000-0005-0000-0000-0000C8000000}"/>
    <cellStyle name="20% - Accent2 2 2 7 2" xfId="6580" xr:uid="{00000000-0005-0000-0000-0000C9000000}"/>
    <cellStyle name="20% - Accent2 2 2 7 2 2" xfId="15030" xr:uid="{7DC4BDE2-BA23-49E2-8B93-097C4CEF5653}"/>
    <cellStyle name="20% - Accent2 2 2 7 2 3" xfId="23470" xr:uid="{0447BAED-6E37-499F-8CEA-4B315920093B}"/>
    <cellStyle name="20% - Accent2 2 2 7 3" xfId="10812" xr:uid="{99D2E9D7-36F3-4F2C-9987-9B15C714C2D7}"/>
    <cellStyle name="20% - Accent2 2 2 7 4" xfId="19253" xr:uid="{07C69C82-EA78-46C5-BFF6-E005D25EEA07}"/>
    <cellStyle name="20% - Accent2 2 2 8" xfId="4514" xr:uid="{00000000-0005-0000-0000-0000CA000000}"/>
    <cellStyle name="20% - Accent2 2 2 8 2" xfId="12964" xr:uid="{2F30B3A7-6533-4B75-9661-0A9817712CCC}"/>
    <cellStyle name="20% - Accent2 2 2 8 3" xfId="21404" xr:uid="{B0569CCE-A24C-4381-81FD-4164F73D7ED4}"/>
    <cellStyle name="20% - Accent2 2 2 9" xfId="8746" xr:uid="{2F5ACC3C-29AB-48C7-9029-DA5C7167560B}"/>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609FB41E-361F-45FE-BCCE-DDFB8D4EEF2B}"/>
    <cellStyle name="20% - Accent2 2 3 2 2 2 3" xfId="23965" xr:uid="{9B2AC2A0-4F1D-4A6D-9AEB-45E372FAF15A}"/>
    <cellStyle name="20% - Accent2 2 3 2 2 3" xfId="11307" xr:uid="{5F3FDE22-0434-46E5-953B-C17F4E1E2433}"/>
    <cellStyle name="20% - Accent2 2 3 2 2 4" xfId="19748" xr:uid="{9A4034F2-7244-4CA6-A47E-7DDD648034A7}"/>
    <cellStyle name="20% - Accent2 2 3 2 3" xfId="4930" xr:uid="{00000000-0005-0000-0000-0000CF000000}"/>
    <cellStyle name="20% - Accent2 2 3 2 3 2" xfId="13380" xr:uid="{1059FB5A-BD18-4571-8AA9-192DBF3FD8CD}"/>
    <cellStyle name="20% - Accent2 2 3 2 3 3" xfId="21820" xr:uid="{39E3EA65-8F87-43CE-9DCE-23AB132F659D}"/>
    <cellStyle name="20% - Accent2 2 3 2 4" xfId="9162" xr:uid="{2781CBF1-AA97-4A83-BA05-8EF4FB56DFDD}"/>
    <cellStyle name="20% - Accent2 2 3 2 5" xfId="17603" xr:uid="{080A87D2-0D08-4BD9-BE38-58C6D7D596B4}"/>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3D1D2596-A15A-4612-A8C1-F987537F8F36}"/>
    <cellStyle name="20% - Accent2 2 3 3 2 2 3" xfId="24378" xr:uid="{DE2F3658-BC3E-4053-ABFB-CADA9D422E54}"/>
    <cellStyle name="20% - Accent2 2 3 3 2 3" xfId="11720" xr:uid="{BACB2317-84EA-4D64-AC14-294005B15135}"/>
    <cellStyle name="20% - Accent2 2 3 3 2 4" xfId="20161" xr:uid="{0424214E-1EA3-427E-8596-15D3C453A975}"/>
    <cellStyle name="20% - Accent2 2 3 3 3" xfId="5343" xr:uid="{00000000-0005-0000-0000-0000D3000000}"/>
    <cellStyle name="20% - Accent2 2 3 3 3 2" xfId="13793" xr:uid="{763F4504-BF0E-4C53-827F-10CA961568E4}"/>
    <cellStyle name="20% - Accent2 2 3 3 3 3" xfId="22233" xr:uid="{96FE66C3-ACEF-4201-A6E9-64D16C0EE023}"/>
    <cellStyle name="20% - Accent2 2 3 3 4" xfId="9575" xr:uid="{801AAEFB-1408-48D5-BA31-116953F52B00}"/>
    <cellStyle name="20% - Accent2 2 3 3 5" xfId="18016" xr:uid="{5937F428-4EE6-4045-A0E6-645EB0B63708}"/>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B10B5575-6595-4115-ABA7-0057DEC08A87}"/>
    <cellStyle name="20% - Accent2 2 3 4 2 2 3" xfId="24791" xr:uid="{EE86D706-4233-4D84-B39F-C35A212D4715}"/>
    <cellStyle name="20% - Accent2 2 3 4 2 3" xfId="12133" xr:uid="{C7A65E20-21AD-4A87-A72E-AFA49240B6CA}"/>
    <cellStyle name="20% - Accent2 2 3 4 2 4" xfId="20574" xr:uid="{0997CC40-A8F8-46BC-8F74-DDACC51CBB88}"/>
    <cellStyle name="20% - Accent2 2 3 4 3" xfId="5756" xr:uid="{00000000-0005-0000-0000-0000D7000000}"/>
    <cellStyle name="20% - Accent2 2 3 4 3 2" xfId="14206" xr:uid="{71B9FED6-EC26-460B-9AA9-6AD20C842309}"/>
    <cellStyle name="20% - Accent2 2 3 4 3 3" xfId="22646" xr:uid="{43405D8F-CE75-4018-BCF7-1BD38C60A429}"/>
    <cellStyle name="20% - Accent2 2 3 4 4" xfId="9988" xr:uid="{E8BF6BE8-2153-4EFD-A486-BDFA2363BF86}"/>
    <cellStyle name="20% - Accent2 2 3 4 5" xfId="18429" xr:uid="{31D0585D-F6DA-4D22-8D35-EFCA8A424336}"/>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1AE068DF-A2A9-438C-A7C8-64912BE50E66}"/>
    <cellStyle name="20% - Accent2 2 3 5 2 2 3" xfId="25204" xr:uid="{BF0BB246-D2A1-4674-A41A-858882B8982E}"/>
    <cellStyle name="20% - Accent2 2 3 5 2 3" xfId="12546" xr:uid="{7A8EEFD2-8554-47AE-BEDF-C6ACFC0F7EC4}"/>
    <cellStyle name="20% - Accent2 2 3 5 2 4" xfId="20987" xr:uid="{B72A2466-C264-4345-AEC7-86634C6626CB}"/>
    <cellStyle name="20% - Accent2 2 3 5 3" xfId="6169" xr:uid="{00000000-0005-0000-0000-0000DB000000}"/>
    <cellStyle name="20% - Accent2 2 3 5 3 2" xfId="14619" xr:uid="{D6D3D064-9164-4D7D-A717-C3F00B5BCF7B}"/>
    <cellStyle name="20% - Accent2 2 3 5 3 3" xfId="23059" xr:uid="{48311FCF-7D91-4B67-B889-7F4D37F1DE90}"/>
    <cellStyle name="20% - Accent2 2 3 5 4" xfId="10401" xr:uid="{8575E10F-318C-4D2F-B7EA-294568839B15}"/>
    <cellStyle name="20% - Accent2 2 3 5 5" xfId="18842" xr:uid="{B22D6D96-4FD4-48BF-83E7-AA17CAC7512F}"/>
    <cellStyle name="20% - Accent2 2 3 6" xfId="2276" xr:uid="{00000000-0005-0000-0000-0000DC000000}"/>
    <cellStyle name="20% - Accent2 2 3 6 2" xfId="6582" xr:uid="{00000000-0005-0000-0000-0000DD000000}"/>
    <cellStyle name="20% - Accent2 2 3 6 2 2" xfId="15032" xr:uid="{58392EF4-B0DD-4415-93EF-25FB303EED35}"/>
    <cellStyle name="20% - Accent2 2 3 6 2 3" xfId="23472" xr:uid="{84D8A852-6E64-47E4-AAC4-2FA8DD13A81B}"/>
    <cellStyle name="20% - Accent2 2 3 6 3" xfId="10814" xr:uid="{AC4992A4-F33D-47D4-B257-DD7766E801D9}"/>
    <cellStyle name="20% - Accent2 2 3 6 4" xfId="19255" xr:uid="{E2BA3390-2C33-4E03-AA38-ABF65BA04949}"/>
    <cellStyle name="20% - Accent2 2 3 7" xfId="4516" xr:uid="{00000000-0005-0000-0000-0000DE000000}"/>
    <cellStyle name="20% - Accent2 2 3 7 2" xfId="12966" xr:uid="{136272E7-624E-4925-9DA0-715D4D232F97}"/>
    <cellStyle name="20% - Accent2 2 3 7 3" xfId="21406" xr:uid="{C887FDB5-FE57-425D-9C6D-F13790B7DCEA}"/>
    <cellStyle name="20% - Accent2 2 3 8" xfId="8748" xr:uid="{C3CEBA7B-5237-421D-BEA7-2AEAD0F04A95}"/>
    <cellStyle name="20% - Accent2 2 3 9" xfId="17189" xr:uid="{54965B1D-D5ED-46A3-9A25-89CD96CEE0D9}"/>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E78DBACC-4F35-436B-801A-86C7964ADA3A}"/>
    <cellStyle name="20% - Accent2 2 4 2 2 3" xfId="23962" xr:uid="{B737D116-93D7-46C1-950F-1E0D2B410213}"/>
    <cellStyle name="20% - Accent2 2 4 2 3" xfId="11304" xr:uid="{702A63F4-58AF-4EA5-B7E4-A07EE65FADE9}"/>
    <cellStyle name="20% - Accent2 2 4 2 4" xfId="19745" xr:uid="{1A56DA6F-A0DE-43C7-9872-51F9166C88FB}"/>
    <cellStyle name="20% - Accent2 2 4 3" xfId="4927" xr:uid="{00000000-0005-0000-0000-0000E2000000}"/>
    <cellStyle name="20% - Accent2 2 4 3 2" xfId="13377" xr:uid="{F88AE3DA-C40E-43B8-9B0C-80ADAAD43320}"/>
    <cellStyle name="20% - Accent2 2 4 3 3" xfId="21817" xr:uid="{AC71DC95-42AE-44AB-B221-6E1C1E47562E}"/>
    <cellStyle name="20% - Accent2 2 4 4" xfId="9159" xr:uid="{439355C6-5AEB-4DF0-8753-C2A5D7AFA3B3}"/>
    <cellStyle name="20% - Accent2 2 4 5" xfId="17600" xr:uid="{18862F5E-0717-4144-BE0F-B0E773DE8A0A}"/>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DED40731-4A7C-4835-BB6B-E7A93E7BDB16}"/>
    <cellStyle name="20% - Accent2 2 5 2 2 3" xfId="24375" xr:uid="{F3510F9D-D745-426E-B6D1-93DFEF08E3A6}"/>
    <cellStyle name="20% - Accent2 2 5 2 3" xfId="11717" xr:uid="{5E6A0E78-B3E8-4901-AF67-ACDF488B90EE}"/>
    <cellStyle name="20% - Accent2 2 5 2 4" xfId="20158" xr:uid="{6FFE6F4B-57A9-47A7-ACD0-9D2782B57888}"/>
    <cellStyle name="20% - Accent2 2 5 3" xfId="5340" xr:uid="{00000000-0005-0000-0000-0000E6000000}"/>
    <cellStyle name="20% - Accent2 2 5 3 2" xfId="13790" xr:uid="{897C8D08-388D-46C9-BDAD-9A86C09A5808}"/>
    <cellStyle name="20% - Accent2 2 5 3 3" xfId="22230" xr:uid="{7AC5387B-7EA7-46F7-86AC-ED2138AA6B8F}"/>
    <cellStyle name="20% - Accent2 2 5 4" xfId="9572" xr:uid="{1170C114-EE8A-4B55-8233-41A6AF914781}"/>
    <cellStyle name="20% - Accent2 2 5 5" xfId="18013" xr:uid="{4693C5BE-89C0-4370-9CB8-9BE74947BCC1}"/>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665BAEB1-1E0D-45D2-9F2A-17256ABB43FE}"/>
    <cellStyle name="20% - Accent2 2 6 2 2 3" xfId="24788" xr:uid="{F20EE723-5E97-486C-812E-6F50F954F69D}"/>
    <cellStyle name="20% - Accent2 2 6 2 3" xfId="12130" xr:uid="{D64CEA07-1F70-409F-B84C-9A0CEF8894F4}"/>
    <cellStyle name="20% - Accent2 2 6 2 4" xfId="20571" xr:uid="{781CCCA7-294B-48E0-81D9-3013A32B7CC5}"/>
    <cellStyle name="20% - Accent2 2 6 3" xfId="5753" xr:uid="{00000000-0005-0000-0000-0000EA000000}"/>
    <cellStyle name="20% - Accent2 2 6 3 2" xfId="14203" xr:uid="{09B78386-4699-4209-BDEC-1EA4652E0580}"/>
    <cellStyle name="20% - Accent2 2 6 3 3" xfId="22643" xr:uid="{0F10FD79-5F25-426B-AC81-562421D3C847}"/>
    <cellStyle name="20% - Accent2 2 6 4" xfId="9985" xr:uid="{61898D67-A5AD-4254-BCCF-8BC8C9DEA2BF}"/>
    <cellStyle name="20% - Accent2 2 6 5" xfId="18426" xr:uid="{C2AD4C8D-15DA-4A7D-9CE7-FD548EF0B559}"/>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F05936CD-BCE3-4418-BBA4-164F59031EC3}"/>
    <cellStyle name="20% - Accent2 2 7 2 2 3" xfId="25201" xr:uid="{B86CFD11-0C66-48AE-B311-118EE01C609E}"/>
    <cellStyle name="20% - Accent2 2 7 2 3" xfId="12543" xr:uid="{D33044BD-75A2-4B8C-B44A-9EA0A30E244F}"/>
    <cellStyle name="20% - Accent2 2 7 2 4" xfId="20984" xr:uid="{A66701E5-4B0F-44A2-B05F-EBFEBEEB70D5}"/>
    <cellStyle name="20% - Accent2 2 7 3" xfId="6166" xr:uid="{00000000-0005-0000-0000-0000EE000000}"/>
    <cellStyle name="20% - Accent2 2 7 3 2" xfId="14616" xr:uid="{F46CC8F3-9A63-41EA-A7B4-A70B60160D7F}"/>
    <cellStyle name="20% - Accent2 2 7 3 3" xfId="23056" xr:uid="{13BAABE4-A96A-4C7F-8B53-521BE3226B9F}"/>
    <cellStyle name="20% - Accent2 2 7 4" xfId="10398" xr:uid="{8D62CD1F-936C-44C9-A962-26D14A3C4885}"/>
    <cellStyle name="20% - Accent2 2 7 5" xfId="18839" xr:uid="{177FF2E6-BCEE-48AE-A104-CCC8772C80FD}"/>
    <cellStyle name="20% - Accent2 2 8" xfId="2273" xr:uid="{00000000-0005-0000-0000-0000EF000000}"/>
    <cellStyle name="20% - Accent2 2 8 2" xfId="6579" xr:uid="{00000000-0005-0000-0000-0000F0000000}"/>
    <cellStyle name="20% - Accent2 2 8 2 2" xfId="15029" xr:uid="{BDF6CC8F-E86B-4F48-9CAC-6A731B0C8044}"/>
    <cellStyle name="20% - Accent2 2 8 2 3" xfId="23469" xr:uid="{69257914-BC2A-4190-BBF9-ACA0755BFFD9}"/>
    <cellStyle name="20% - Accent2 2 8 3" xfId="10811" xr:uid="{DDB1A554-4589-4E47-9DCB-3C135AB9C79C}"/>
    <cellStyle name="20% - Accent2 2 8 4" xfId="19252" xr:uid="{3C5C5D19-CA4B-4779-ACD4-7C2227D49471}"/>
    <cellStyle name="20% - Accent2 2 9" xfId="4513" xr:uid="{00000000-0005-0000-0000-0000F1000000}"/>
    <cellStyle name="20% - Accent2 2 9 2" xfId="12963" xr:uid="{EB0C46D9-2039-468F-B122-061F6485600D}"/>
    <cellStyle name="20% - Accent2 2 9 3" xfId="21403" xr:uid="{F7D2E4A5-ACED-48A2-AA18-E65CF2E634F4}"/>
    <cellStyle name="20% - Accent2 3" xfId="14" xr:uid="{00000000-0005-0000-0000-0000F2000000}"/>
    <cellStyle name="20% - Accent2 3 10" xfId="17190" xr:uid="{7E3615DE-E3E9-4961-9F84-4216AEEDBA91}"/>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1D12C6AB-14E2-449B-8900-A4345539F85F}"/>
    <cellStyle name="20% - Accent2 3 2 2 2 2 3" xfId="23967" xr:uid="{28F2B798-F09E-4DCC-B18E-7944CA48F732}"/>
    <cellStyle name="20% - Accent2 3 2 2 2 3" xfId="11309" xr:uid="{6E35AF9D-B772-4654-A732-A4F971DE5A11}"/>
    <cellStyle name="20% - Accent2 3 2 2 2 4" xfId="19750" xr:uid="{1AE2A79A-0EB6-40A4-81C3-6205A38560B8}"/>
    <cellStyle name="20% - Accent2 3 2 2 3" xfId="4932" xr:uid="{00000000-0005-0000-0000-0000F7000000}"/>
    <cellStyle name="20% - Accent2 3 2 2 3 2" xfId="13382" xr:uid="{96DD245C-6097-4FED-8523-49BD71596590}"/>
    <cellStyle name="20% - Accent2 3 2 2 3 3" xfId="21822" xr:uid="{E46959B7-9F17-4F76-8D82-D680E93B8EA2}"/>
    <cellStyle name="20% - Accent2 3 2 2 4" xfId="9164" xr:uid="{A3A34AB9-A075-477B-8A4E-1E0A54819CF6}"/>
    <cellStyle name="20% - Accent2 3 2 2 5" xfId="17605" xr:uid="{F4138CFA-E86E-4970-BF2B-3D5B32E52AA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D72C680A-20E0-4AF0-8800-B9F5C256843B}"/>
    <cellStyle name="20% - Accent2 3 2 3 2 2 3" xfId="24380" xr:uid="{C288542B-C367-45AD-B52A-3B134C1A4846}"/>
    <cellStyle name="20% - Accent2 3 2 3 2 3" xfId="11722" xr:uid="{0BE14B0E-7540-4F9B-9612-FF330D0F3E94}"/>
    <cellStyle name="20% - Accent2 3 2 3 2 4" xfId="20163" xr:uid="{7D019263-16F6-448D-ADAB-D9544F739260}"/>
    <cellStyle name="20% - Accent2 3 2 3 3" xfId="5345" xr:uid="{00000000-0005-0000-0000-0000FB000000}"/>
    <cellStyle name="20% - Accent2 3 2 3 3 2" xfId="13795" xr:uid="{728541BB-57EE-4CAE-A0EE-B33FCE885CEE}"/>
    <cellStyle name="20% - Accent2 3 2 3 3 3" xfId="22235" xr:uid="{DD74796C-8E8A-42FC-819B-8E165AFDAC1D}"/>
    <cellStyle name="20% - Accent2 3 2 3 4" xfId="9577" xr:uid="{76DA812D-2AED-45EF-B6FE-46BE5C5AFCB8}"/>
    <cellStyle name="20% - Accent2 3 2 3 5" xfId="18018" xr:uid="{0E61EA8A-0A85-4EA9-A190-EAE85609782B}"/>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B7F73092-B193-4890-8B8C-DB9A96592D34}"/>
    <cellStyle name="20% - Accent2 3 2 4 2 2 3" xfId="24793" xr:uid="{5BE0C9A1-3D3C-470D-AB05-535B93776FC4}"/>
    <cellStyle name="20% - Accent2 3 2 4 2 3" xfId="12135" xr:uid="{C67B8ACA-2332-4407-A152-E17712D7F184}"/>
    <cellStyle name="20% - Accent2 3 2 4 2 4" xfId="20576" xr:uid="{8AFC061E-7A75-4EE4-929C-AD48C6BECBDB}"/>
    <cellStyle name="20% - Accent2 3 2 4 3" xfId="5758" xr:uid="{00000000-0005-0000-0000-0000FF000000}"/>
    <cellStyle name="20% - Accent2 3 2 4 3 2" xfId="14208" xr:uid="{75146A51-9B02-4CD7-B55B-B6DE0A29A475}"/>
    <cellStyle name="20% - Accent2 3 2 4 3 3" xfId="22648" xr:uid="{8E4D3CCC-535C-45E2-96A8-CD330643E9FB}"/>
    <cellStyle name="20% - Accent2 3 2 4 4" xfId="9990" xr:uid="{A388E2D5-AA43-4313-8D0A-58CB370F7AE0}"/>
    <cellStyle name="20% - Accent2 3 2 4 5" xfId="18431" xr:uid="{07B4F8D0-6E4C-438E-A522-17D5EC78F36C}"/>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D0558FD2-84B2-4023-9D3F-DC8012086452}"/>
    <cellStyle name="20% - Accent2 3 2 5 2 2 3" xfId="25206" xr:uid="{5B7F04DE-4EE4-434B-8BF7-1E91A5AC2C33}"/>
    <cellStyle name="20% - Accent2 3 2 5 2 3" xfId="12548" xr:uid="{4A0F4C9D-5D8C-42DD-81A6-AEAF018C78A1}"/>
    <cellStyle name="20% - Accent2 3 2 5 2 4" xfId="20989" xr:uid="{6042668B-05B4-498E-95CC-DB4C70CB6BF8}"/>
    <cellStyle name="20% - Accent2 3 2 5 3" xfId="6171" xr:uid="{00000000-0005-0000-0000-000003010000}"/>
    <cellStyle name="20% - Accent2 3 2 5 3 2" xfId="14621" xr:uid="{F88209AC-3F0A-443A-B81D-BFCA29150D2C}"/>
    <cellStyle name="20% - Accent2 3 2 5 3 3" xfId="23061" xr:uid="{0B15B213-A58D-49CB-8C94-8BFF1EB136B8}"/>
    <cellStyle name="20% - Accent2 3 2 5 4" xfId="10403" xr:uid="{ABC9E545-E1CD-4BDB-B87A-AE0B6EB52C52}"/>
    <cellStyle name="20% - Accent2 3 2 5 5" xfId="18844" xr:uid="{9D415045-413A-480C-8178-5D2D2A33CB4B}"/>
    <cellStyle name="20% - Accent2 3 2 6" xfId="2278" xr:uid="{00000000-0005-0000-0000-000004010000}"/>
    <cellStyle name="20% - Accent2 3 2 6 2" xfId="6584" xr:uid="{00000000-0005-0000-0000-000005010000}"/>
    <cellStyle name="20% - Accent2 3 2 6 2 2" xfId="15034" xr:uid="{8086C4E6-D967-47F4-93BF-44C6889637DF}"/>
    <cellStyle name="20% - Accent2 3 2 6 2 3" xfId="23474" xr:uid="{8396881E-1993-4F74-9EE2-A30B0DA1D732}"/>
    <cellStyle name="20% - Accent2 3 2 6 3" xfId="10816" xr:uid="{962D15BA-C9DB-425B-AFDC-D53F70D604EE}"/>
    <cellStyle name="20% - Accent2 3 2 6 4" xfId="19257" xr:uid="{F371EEFD-8EF0-465B-8BBC-17886EB07F6F}"/>
    <cellStyle name="20% - Accent2 3 2 7" xfId="4518" xr:uid="{00000000-0005-0000-0000-000006010000}"/>
    <cellStyle name="20% - Accent2 3 2 7 2" xfId="12968" xr:uid="{339EEACE-B4D3-4F81-8053-4DB88F558B90}"/>
    <cellStyle name="20% - Accent2 3 2 7 3" xfId="21408" xr:uid="{DD0B2708-D91C-4A3B-A80C-32BFDCC89D3C}"/>
    <cellStyle name="20% - Accent2 3 2 8" xfId="8750" xr:uid="{4EB8CAB3-F996-4928-BC48-23495AE09BCD}"/>
    <cellStyle name="20% - Accent2 3 2 9" xfId="17191" xr:uid="{711C066D-DDA3-4963-8540-2332FAE5D59D}"/>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791C782C-0723-45F1-8DC6-5B8A3C40C05E}"/>
    <cellStyle name="20% - Accent2 3 3 2 2 3" xfId="23966" xr:uid="{FB112A0C-5BB7-49B1-98A4-86578ED57D61}"/>
    <cellStyle name="20% - Accent2 3 3 2 3" xfId="11308" xr:uid="{AB7AD546-6C1F-424F-B887-D918B3895747}"/>
    <cellStyle name="20% - Accent2 3 3 2 4" xfId="19749" xr:uid="{F4C1CE44-E8A7-42C6-9F10-257AAAA3D564}"/>
    <cellStyle name="20% - Accent2 3 3 3" xfId="4931" xr:uid="{00000000-0005-0000-0000-00000A010000}"/>
    <cellStyle name="20% - Accent2 3 3 3 2" xfId="13381" xr:uid="{A92960D3-0761-4D01-B53C-5FC40678E1F9}"/>
    <cellStyle name="20% - Accent2 3 3 3 3" xfId="21821" xr:uid="{79272067-C371-4F71-B9EC-AF4B63E76241}"/>
    <cellStyle name="20% - Accent2 3 3 4" xfId="9163" xr:uid="{AF80B49D-D591-4F11-9D21-35C184AA68ED}"/>
    <cellStyle name="20% - Accent2 3 3 5" xfId="17604" xr:uid="{930BF3D8-ABAA-4B77-BE60-9660DA05FAB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4425AABE-2370-40B2-B665-563369C08FCC}"/>
    <cellStyle name="20% - Accent2 3 4 2 2 3" xfId="24379" xr:uid="{9946205C-CB2F-405A-85CD-FFAAAAE9F8E4}"/>
    <cellStyle name="20% - Accent2 3 4 2 3" xfId="11721" xr:uid="{DC67ECE5-285E-445B-8A6E-B8DAA201D2FE}"/>
    <cellStyle name="20% - Accent2 3 4 2 4" xfId="20162" xr:uid="{E6908E0E-D5EB-4092-92AA-1D59CB43946F}"/>
    <cellStyle name="20% - Accent2 3 4 3" xfId="5344" xr:uid="{00000000-0005-0000-0000-00000E010000}"/>
    <cellStyle name="20% - Accent2 3 4 3 2" xfId="13794" xr:uid="{FBDDF2E0-50F8-436C-9607-A89D046FE363}"/>
    <cellStyle name="20% - Accent2 3 4 3 3" xfId="22234" xr:uid="{A4EAEFB6-893B-47F4-BC3F-D4D9B9E61768}"/>
    <cellStyle name="20% - Accent2 3 4 4" xfId="9576" xr:uid="{85680035-BF1F-4242-93E8-6066F3E0712C}"/>
    <cellStyle name="20% - Accent2 3 4 5" xfId="18017" xr:uid="{F21FA0FF-AB1C-4DDF-99A3-FF35D8B63D41}"/>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5EA8FF98-8FB9-434B-9D66-75A94EB195B0}"/>
    <cellStyle name="20% - Accent2 3 5 2 2 3" xfId="24792" xr:uid="{1C5E527B-60E5-4162-B12D-BD9883D9F877}"/>
    <cellStyle name="20% - Accent2 3 5 2 3" xfId="12134" xr:uid="{F9DE94C2-1CF4-4DC6-8180-CB27B1F1F3AB}"/>
    <cellStyle name="20% - Accent2 3 5 2 4" xfId="20575" xr:uid="{B90F9982-8C0E-4C24-B866-B25C47AEC4EF}"/>
    <cellStyle name="20% - Accent2 3 5 3" xfId="5757" xr:uid="{00000000-0005-0000-0000-000012010000}"/>
    <cellStyle name="20% - Accent2 3 5 3 2" xfId="14207" xr:uid="{7329A6C3-8184-425B-98BE-0E3FDE8F99F0}"/>
    <cellStyle name="20% - Accent2 3 5 3 3" xfId="22647" xr:uid="{B2DF3EB5-F5EE-4C1E-9418-5C2580306114}"/>
    <cellStyle name="20% - Accent2 3 5 4" xfId="9989" xr:uid="{8B118947-DD6B-44F0-B975-F2E6592AE5CD}"/>
    <cellStyle name="20% - Accent2 3 5 5" xfId="18430" xr:uid="{36866870-0206-4F7A-BF7C-0B65C556F250}"/>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8FA80024-0A4A-4A6C-B3F1-DC293F78B000}"/>
    <cellStyle name="20% - Accent2 3 6 2 2 3" xfId="25205" xr:uid="{49BA2100-994A-4BCB-9079-02A7F95B1A70}"/>
    <cellStyle name="20% - Accent2 3 6 2 3" xfId="12547" xr:uid="{3F0B0F13-0106-4A04-AFB5-67916FBF0CA4}"/>
    <cellStyle name="20% - Accent2 3 6 2 4" xfId="20988" xr:uid="{489A4C54-2C03-4BAC-97EA-9EAD02374B9C}"/>
    <cellStyle name="20% - Accent2 3 6 3" xfId="6170" xr:uid="{00000000-0005-0000-0000-000016010000}"/>
    <cellStyle name="20% - Accent2 3 6 3 2" xfId="14620" xr:uid="{7FB49B2F-B203-47F3-87A5-6C40E2B6AAD4}"/>
    <cellStyle name="20% - Accent2 3 6 3 3" xfId="23060" xr:uid="{8A0AED29-90BC-4E4B-93EE-EDC29CBD5480}"/>
    <cellStyle name="20% - Accent2 3 6 4" xfId="10402" xr:uid="{24A35471-399E-4B7B-BE51-12989C9347AE}"/>
    <cellStyle name="20% - Accent2 3 6 5" xfId="18843" xr:uid="{AA386E03-E770-42F0-A735-78A68F82C229}"/>
    <cellStyle name="20% - Accent2 3 7" xfId="2277" xr:uid="{00000000-0005-0000-0000-000017010000}"/>
    <cellStyle name="20% - Accent2 3 7 2" xfId="6583" xr:uid="{00000000-0005-0000-0000-000018010000}"/>
    <cellStyle name="20% - Accent2 3 7 2 2" xfId="15033" xr:uid="{444F6B3B-532A-4722-9454-9CE770D3558D}"/>
    <cellStyle name="20% - Accent2 3 7 2 3" xfId="23473" xr:uid="{361E37E2-9A30-47A5-8B6D-1E334C1DB60B}"/>
    <cellStyle name="20% - Accent2 3 7 3" xfId="10815" xr:uid="{A5A2F335-89EB-4F41-9C91-98E9BDF6DE9F}"/>
    <cellStyle name="20% - Accent2 3 7 4" xfId="19256" xr:uid="{E300CBB0-0FE8-4B39-A864-D6D0B21EF699}"/>
    <cellStyle name="20% - Accent2 3 8" xfId="4517" xr:uid="{00000000-0005-0000-0000-000019010000}"/>
    <cellStyle name="20% - Accent2 3 8 2" xfId="12967" xr:uid="{5878A7C7-D104-41CA-A180-BA8B6E830E58}"/>
    <cellStyle name="20% - Accent2 3 8 3" xfId="21407" xr:uid="{41408000-1823-45F3-BC47-AE79973B7A9A}"/>
    <cellStyle name="20% - Accent2 3 9" xfId="8749" xr:uid="{5592DD4E-52DF-4391-93DC-1BA049B82E6E}"/>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3BF3B6FF-0CC3-4990-8488-B60DEA3982FD}"/>
    <cellStyle name="20% - Accent2 4 2 2 2 3" xfId="23968" xr:uid="{A1DA113E-77E7-4264-BDF8-0535D5BE105D}"/>
    <cellStyle name="20% - Accent2 4 2 2 3" xfId="11310" xr:uid="{E110E5F9-9794-4BC1-A7D0-BE24850BD8E9}"/>
    <cellStyle name="20% - Accent2 4 2 2 4" xfId="19751" xr:uid="{2920DC67-9247-43F4-8870-AFB45222566A}"/>
    <cellStyle name="20% - Accent2 4 2 3" xfId="4933" xr:uid="{00000000-0005-0000-0000-00001E010000}"/>
    <cellStyle name="20% - Accent2 4 2 3 2" xfId="13383" xr:uid="{7578207D-78AB-4D0D-A29F-26EF7B3DAAB9}"/>
    <cellStyle name="20% - Accent2 4 2 3 3" xfId="21823" xr:uid="{C82852E7-D5F2-4EA6-A3E3-DD840D45EC61}"/>
    <cellStyle name="20% - Accent2 4 2 4" xfId="9165" xr:uid="{3E968766-EC19-489F-A9AB-16201E310C21}"/>
    <cellStyle name="20% - Accent2 4 2 5" xfId="17606" xr:uid="{9467A20A-A774-4519-9907-78FFEB37A0BC}"/>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58302544-9E47-4B42-A773-E770DDE4783F}"/>
    <cellStyle name="20% - Accent2 4 3 2 2 3" xfId="24381" xr:uid="{26B7C31D-36C1-4F59-8641-312814950E2D}"/>
    <cellStyle name="20% - Accent2 4 3 2 3" xfId="11723" xr:uid="{5B76E6F5-18EB-4BB2-B7FD-CDD40D2E430A}"/>
    <cellStyle name="20% - Accent2 4 3 2 4" xfId="20164" xr:uid="{90307FE3-61C1-4B15-BDA8-34CF4D020E60}"/>
    <cellStyle name="20% - Accent2 4 3 3" xfId="5346" xr:uid="{00000000-0005-0000-0000-000022010000}"/>
    <cellStyle name="20% - Accent2 4 3 3 2" xfId="13796" xr:uid="{7028CC7E-255C-4B77-93DB-8B3286252B8A}"/>
    <cellStyle name="20% - Accent2 4 3 3 3" xfId="22236" xr:uid="{32495BAC-4527-4EA2-8EFE-A9CF0E399AB1}"/>
    <cellStyle name="20% - Accent2 4 3 4" xfId="9578" xr:uid="{E066CC0D-5E78-4CE6-801F-1045D8D28219}"/>
    <cellStyle name="20% - Accent2 4 3 5" xfId="18019" xr:uid="{0A975C82-907A-4054-8486-4C437240C903}"/>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E82E6A37-55D1-4B9A-8FBD-A1EF15C7C72D}"/>
    <cellStyle name="20% - Accent2 4 4 2 2 3" xfId="24794" xr:uid="{92F6A96A-5C03-43BF-A794-1ED489AC09E2}"/>
    <cellStyle name="20% - Accent2 4 4 2 3" xfId="12136" xr:uid="{42325810-CE6F-41C8-9571-6C5534D3E843}"/>
    <cellStyle name="20% - Accent2 4 4 2 4" xfId="20577" xr:uid="{BFFAC9B0-1617-438C-A403-7670881376CD}"/>
    <cellStyle name="20% - Accent2 4 4 3" xfId="5759" xr:uid="{00000000-0005-0000-0000-000026010000}"/>
    <cellStyle name="20% - Accent2 4 4 3 2" xfId="14209" xr:uid="{99785242-FB40-44A8-B35F-A8DF38744E65}"/>
    <cellStyle name="20% - Accent2 4 4 3 3" xfId="22649" xr:uid="{B55E27FA-A08E-4DF9-ADE6-829F49A68980}"/>
    <cellStyle name="20% - Accent2 4 4 4" xfId="9991" xr:uid="{9C079AEB-C208-4FA7-9937-A3C25342B657}"/>
    <cellStyle name="20% - Accent2 4 4 5" xfId="18432" xr:uid="{B5736731-010F-4083-9AA7-3A4050EE9B1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1D3BD35B-EE84-49BF-8542-679A57979E29}"/>
    <cellStyle name="20% - Accent2 4 5 2 2 3" xfId="25207" xr:uid="{9E76E23B-28E5-4495-9192-637D819DF1B3}"/>
    <cellStyle name="20% - Accent2 4 5 2 3" xfId="12549" xr:uid="{AD52A9FA-F06B-4AB6-B9E8-C7B6A5A42023}"/>
    <cellStyle name="20% - Accent2 4 5 2 4" xfId="20990" xr:uid="{2430765B-C496-4B59-A308-A3A24E26D0FB}"/>
    <cellStyle name="20% - Accent2 4 5 3" xfId="6172" xr:uid="{00000000-0005-0000-0000-00002A010000}"/>
    <cellStyle name="20% - Accent2 4 5 3 2" xfId="14622" xr:uid="{346458AC-BDC0-4494-92A2-0ED71DFD9E2F}"/>
    <cellStyle name="20% - Accent2 4 5 3 3" xfId="23062" xr:uid="{06F9C66E-FA30-4398-9C9E-F5F2191C20EF}"/>
    <cellStyle name="20% - Accent2 4 5 4" xfId="10404" xr:uid="{74025EE6-B4D3-40FD-BD69-E378B0FBA927}"/>
    <cellStyle name="20% - Accent2 4 5 5" xfId="18845" xr:uid="{44AE30FF-D5B1-455B-88C0-FEC13F5F25D7}"/>
    <cellStyle name="20% - Accent2 4 6" xfId="2279" xr:uid="{00000000-0005-0000-0000-00002B010000}"/>
    <cellStyle name="20% - Accent2 4 6 2" xfId="6585" xr:uid="{00000000-0005-0000-0000-00002C010000}"/>
    <cellStyle name="20% - Accent2 4 6 2 2" xfId="15035" xr:uid="{4956A9AC-8212-46E6-BEEF-014189927A4E}"/>
    <cellStyle name="20% - Accent2 4 6 2 3" xfId="23475" xr:uid="{EE222E88-9173-47E9-8324-E6C038961664}"/>
    <cellStyle name="20% - Accent2 4 6 3" xfId="10817" xr:uid="{D4E133BB-53A5-4A22-9B48-02AAC0A93F5A}"/>
    <cellStyle name="20% - Accent2 4 6 4" xfId="19258" xr:uid="{185D7CB3-020C-42A0-BC8B-58135254B462}"/>
    <cellStyle name="20% - Accent2 4 7" xfId="4519" xr:uid="{00000000-0005-0000-0000-00002D010000}"/>
    <cellStyle name="20% - Accent2 4 7 2" xfId="12969" xr:uid="{10969FE0-A523-4CE5-AB23-0BE76513165D}"/>
    <cellStyle name="20% - Accent2 4 7 3" xfId="21409" xr:uid="{DD823BBC-A740-45B1-BB93-0940DB746FDD}"/>
    <cellStyle name="20% - Accent2 4 8" xfId="8751" xr:uid="{9D7EC0CF-A7D6-4C20-B10C-757DD59B0974}"/>
    <cellStyle name="20% - Accent2 4 9" xfId="17192" xr:uid="{26EB4DEB-C935-4EFB-A9D3-410D35515BFC}"/>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589BF603-E2EA-4DBF-9D74-ADBD3695AE74}"/>
    <cellStyle name="20% - Accent2 5 2 2 3" xfId="23961" xr:uid="{783E3093-0A47-4C49-8BD3-458DA330BD18}"/>
    <cellStyle name="20% - Accent2 5 2 3" xfId="11303" xr:uid="{293071E6-8D2E-4B74-A0E7-5A8C560EDD3F}"/>
    <cellStyle name="20% - Accent2 5 2 4" xfId="19744" xr:uid="{6EA9F1A6-66B1-44D4-B0EF-B1542207DD40}"/>
    <cellStyle name="20% - Accent2 5 3" xfId="4926" xr:uid="{00000000-0005-0000-0000-000031010000}"/>
    <cellStyle name="20% - Accent2 5 3 2" xfId="13376" xr:uid="{4EB03522-EEFB-4711-928A-602032A933AA}"/>
    <cellStyle name="20% - Accent2 5 3 3" xfId="21816" xr:uid="{0020119C-DE0E-4CAF-A90A-8F54792328C8}"/>
    <cellStyle name="20% - Accent2 5 4" xfId="9158" xr:uid="{5C5EE262-BB0F-44A3-A017-913E84FFD76F}"/>
    <cellStyle name="20% - Accent2 5 5" xfId="17599" xr:uid="{9D575D89-1065-4026-BBE4-BA8717467A4F}"/>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9FA53175-827C-4381-BC21-2AA112E7D320}"/>
    <cellStyle name="20% - Accent2 6 2 2 3" xfId="24374" xr:uid="{839EB99E-C550-4F08-A000-6789A1426C2F}"/>
    <cellStyle name="20% - Accent2 6 2 3" xfId="11716" xr:uid="{A5281EC1-4928-40DD-AFE9-C4FC9F3DB072}"/>
    <cellStyle name="20% - Accent2 6 2 4" xfId="20157" xr:uid="{785ACC3B-91AF-46FA-B581-E0A491D9486E}"/>
    <cellStyle name="20% - Accent2 6 3" xfId="5339" xr:uid="{00000000-0005-0000-0000-000035010000}"/>
    <cellStyle name="20% - Accent2 6 3 2" xfId="13789" xr:uid="{1EC2ED14-4EC6-4F36-8677-4DFA052915AB}"/>
    <cellStyle name="20% - Accent2 6 3 3" xfId="22229" xr:uid="{1A489DD2-5D3F-4C72-AF09-9BD64634A215}"/>
    <cellStyle name="20% - Accent2 6 4" xfId="9571" xr:uid="{F008F43C-16B6-4FE9-9892-D68D16958737}"/>
    <cellStyle name="20% - Accent2 6 5" xfId="18012" xr:uid="{DE3BAF1A-7983-4866-BF24-A9843DE263E3}"/>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EB02D5F5-507A-4EA7-A7E3-6F4B25FCC2EC}"/>
    <cellStyle name="20% - Accent2 7 2 2 3" xfId="24787" xr:uid="{41773AC4-1BB6-4B69-8FEE-900D24DA0BE0}"/>
    <cellStyle name="20% - Accent2 7 2 3" xfId="12129" xr:uid="{87EF0E9A-7726-4D27-9645-8FD2E10B47A4}"/>
    <cellStyle name="20% - Accent2 7 2 4" xfId="20570" xr:uid="{175F9F24-FF25-495B-950C-23A75B2F1C83}"/>
    <cellStyle name="20% - Accent2 7 3" xfId="5752" xr:uid="{00000000-0005-0000-0000-000039010000}"/>
    <cellStyle name="20% - Accent2 7 3 2" xfId="14202" xr:uid="{86D51991-DAEC-452C-98C3-DFC819895138}"/>
    <cellStyle name="20% - Accent2 7 3 3" xfId="22642" xr:uid="{CBEB233B-A4E9-4D25-B2C0-BC24A07521A4}"/>
    <cellStyle name="20% - Accent2 7 4" xfId="9984" xr:uid="{F7A6A3B0-3A1B-406D-A60E-A37DA703DF68}"/>
    <cellStyle name="20% - Accent2 7 5" xfId="18425" xr:uid="{CA5C1644-8896-4FBA-9A61-EA7F7C90B9A0}"/>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D8F01A7A-09C8-482B-809C-BD31B4470D07}"/>
    <cellStyle name="20% - Accent2 8 2 2 3" xfId="25200" xr:uid="{42A7A7EE-6477-49F7-B3AD-593789B7B72E}"/>
    <cellStyle name="20% - Accent2 8 2 3" xfId="12542" xr:uid="{CD68B792-EA39-4920-BE71-7FA39A5C7038}"/>
    <cellStyle name="20% - Accent2 8 2 4" xfId="20983" xr:uid="{C053FE7B-6995-4445-9D21-DC446C329D40}"/>
    <cellStyle name="20% - Accent2 8 3" xfId="6165" xr:uid="{00000000-0005-0000-0000-00003D010000}"/>
    <cellStyle name="20% - Accent2 8 3 2" xfId="14615" xr:uid="{2D354A78-D70E-4FA6-8A53-016F4F75CE6A}"/>
    <cellStyle name="20% - Accent2 8 3 3" xfId="23055" xr:uid="{0380AFA8-737A-4ADF-9F60-132C195D4A11}"/>
    <cellStyle name="20% - Accent2 8 4" xfId="10397" xr:uid="{0CAA869A-7EB7-4C03-9AA6-B7B89154050A}"/>
    <cellStyle name="20% - Accent2 8 5" xfId="18838" xr:uid="{0D8A58E1-CDAB-4D61-A18B-F67C2C95559A}"/>
    <cellStyle name="20% - Accent2 9" xfId="2272" xr:uid="{00000000-0005-0000-0000-00003E010000}"/>
    <cellStyle name="20% - Accent2 9 2" xfId="6578" xr:uid="{00000000-0005-0000-0000-00003F010000}"/>
    <cellStyle name="20% - Accent2 9 2 2" xfId="15028" xr:uid="{0C195887-D03A-40BC-BBDE-4C132C9F4A7E}"/>
    <cellStyle name="20% - Accent2 9 2 3" xfId="23468" xr:uid="{0CD6E4B6-A607-4E36-BA2F-13549E4D9C2A}"/>
    <cellStyle name="20% - Accent2 9 3" xfId="10810" xr:uid="{3EE77D20-0E22-4B59-8710-1E8D6660F685}"/>
    <cellStyle name="20% - Accent2 9 4" xfId="19251" xr:uid="{5252EB89-FF45-4231-BAF5-0ED96B517346}"/>
    <cellStyle name="20% - Accent3" xfId="17" builtinId="38" customBuiltin="1"/>
    <cellStyle name="20% - Accent3 10" xfId="4520" xr:uid="{00000000-0005-0000-0000-000041010000}"/>
    <cellStyle name="20% - Accent3 10 2" xfId="12970" xr:uid="{E34F7D4C-658F-48F5-9868-912950BA346F}"/>
    <cellStyle name="20% - Accent3 10 3" xfId="21410" xr:uid="{19038F7D-0585-48C6-B21A-3DB89583BB2E}"/>
    <cellStyle name="20% - Accent3 11" xfId="8752" xr:uid="{D69C9C99-2520-4462-B9EA-B9C970487057}"/>
    <cellStyle name="20% - Accent3 12" xfId="17193" xr:uid="{A8A12692-0904-4675-84FA-A7356CDE4733}"/>
    <cellStyle name="20% - Accent3 2" xfId="18" xr:uid="{00000000-0005-0000-0000-000042010000}"/>
    <cellStyle name="20% - Accent3 2 10" xfId="8753" xr:uid="{564872E5-8C9A-45FD-89C7-FBECBA5AFBA8}"/>
    <cellStyle name="20% - Accent3 2 11" xfId="17194" xr:uid="{D153B0B3-E3DD-4050-9201-9747D95CB355}"/>
    <cellStyle name="20% - Accent3 2 2" xfId="19" xr:uid="{00000000-0005-0000-0000-000043010000}"/>
    <cellStyle name="20% - Accent3 2 2 10" xfId="17195" xr:uid="{EF3C0FD6-2151-440D-A29B-7088BF6F3809}"/>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C0CA734D-2810-4DD1-BE69-2B32149F5558}"/>
    <cellStyle name="20% - Accent3 2 2 2 2 2 2 3" xfId="23972" xr:uid="{3C48515F-9F3B-4261-B406-ABB805B21A12}"/>
    <cellStyle name="20% - Accent3 2 2 2 2 2 3" xfId="11314" xr:uid="{2D130F73-8FC7-4FA7-A995-E24A7299A5DB}"/>
    <cellStyle name="20% - Accent3 2 2 2 2 2 4" xfId="19755" xr:uid="{5EE69F21-077E-4CD5-BAB6-75115B91A2E8}"/>
    <cellStyle name="20% - Accent3 2 2 2 2 3" xfId="4937" xr:uid="{00000000-0005-0000-0000-000048010000}"/>
    <cellStyle name="20% - Accent3 2 2 2 2 3 2" xfId="13387" xr:uid="{15777487-5FA2-47D7-9BD8-303228ECAB3A}"/>
    <cellStyle name="20% - Accent3 2 2 2 2 3 3" xfId="21827" xr:uid="{BBFAFDCA-1BC2-423A-8C6D-A778ECFADF9D}"/>
    <cellStyle name="20% - Accent3 2 2 2 2 4" xfId="9169" xr:uid="{90C0D0AF-B53E-425F-913C-A130FD084121}"/>
    <cellStyle name="20% - Accent3 2 2 2 2 5" xfId="17610" xr:uid="{3329BAA9-DF2F-41D8-980E-7C78668D2E6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5A53E3E9-6A7F-404B-A36F-F84C3CE8902E}"/>
    <cellStyle name="20% - Accent3 2 2 2 3 2 2 3" xfId="24385" xr:uid="{928B07C7-9237-4009-BDB0-7DB0C0F10CF1}"/>
    <cellStyle name="20% - Accent3 2 2 2 3 2 3" xfId="11727" xr:uid="{4698770F-A646-420F-B7C4-01C2F6C52EE2}"/>
    <cellStyle name="20% - Accent3 2 2 2 3 2 4" xfId="20168" xr:uid="{B31CD6CA-E924-47EA-BC0A-D5F66D25D2E1}"/>
    <cellStyle name="20% - Accent3 2 2 2 3 3" xfId="5350" xr:uid="{00000000-0005-0000-0000-00004C010000}"/>
    <cellStyle name="20% - Accent3 2 2 2 3 3 2" xfId="13800" xr:uid="{A21C8140-5E72-4A53-84BC-6695F825E38F}"/>
    <cellStyle name="20% - Accent3 2 2 2 3 3 3" xfId="22240" xr:uid="{7BA0057A-B78D-4C85-942E-5D0B8C1BB60A}"/>
    <cellStyle name="20% - Accent3 2 2 2 3 4" xfId="9582" xr:uid="{68DD8226-55EE-4D4B-BD2A-91BF960EF9AB}"/>
    <cellStyle name="20% - Accent3 2 2 2 3 5" xfId="18023" xr:uid="{853496A0-0BC3-4AF1-91A2-EF6D7EB9CB3A}"/>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B7935AD-2DF1-4507-B46E-348FEEF75B83}"/>
    <cellStyle name="20% - Accent3 2 2 2 4 2 2 3" xfId="24798" xr:uid="{7E5F33B6-6166-42F1-90B7-90570F04920E}"/>
    <cellStyle name="20% - Accent3 2 2 2 4 2 3" xfId="12140" xr:uid="{44537FD8-A5B0-4046-BB21-16D2E17C6265}"/>
    <cellStyle name="20% - Accent3 2 2 2 4 2 4" xfId="20581" xr:uid="{E8837586-F66E-446B-BC84-F6AE249A2C70}"/>
    <cellStyle name="20% - Accent3 2 2 2 4 3" xfId="5763" xr:uid="{00000000-0005-0000-0000-000050010000}"/>
    <cellStyle name="20% - Accent3 2 2 2 4 3 2" xfId="14213" xr:uid="{E4F44C5E-29F7-4AB1-82EA-2F9121D93CE9}"/>
    <cellStyle name="20% - Accent3 2 2 2 4 3 3" xfId="22653" xr:uid="{5078F9AB-8F3C-4509-BDF1-B4883B5ACB5F}"/>
    <cellStyle name="20% - Accent3 2 2 2 4 4" xfId="9995" xr:uid="{316B9FE0-EE14-4A53-819A-331018D4038E}"/>
    <cellStyle name="20% - Accent3 2 2 2 4 5" xfId="18436" xr:uid="{26434946-B64C-47BE-AF34-9950C95448EF}"/>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729FE2F9-E485-49CA-B5A7-9B966C220982}"/>
    <cellStyle name="20% - Accent3 2 2 2 5 2 2 3" xfId="25211" xr:uid="{678FC12F-B1EC-4C4C-8978-EACEAFBA5A02}"/>
    <cellStyle name="20% - Accent3 2 2 2 5 2 3" xfId="12553" xr:uid="{D00CC166-5B79-47FF-9AF1-47502B41508F}"/>
    <cellStyle name="20% - Accent3 2 2 2 5 2 4" xfId="20994" xr:uid="{7189E8E6-8B3F-4BDA-9478-F096C1E80200}"/>
    <cellStyle name="20% - Accent3 2 2 2 5 3" xfId="6176" xr:uid="{00000000-0005-0000-0000-000054010000}"/>
    <cellStyle name="20% - Accent3 2 2 2 5 3 2" xfId="14626" xr:uid="{3F8631BD-75B5-4B75-B3D7-772D30811060}"/>
    <cellStyle name="20% - Accent3 2 2 2 5 3 3" xfId="23066" xr:uid="{DC93512F-FF60-43D5-AB5C-AACDD5F1A4BB}"/>
    <cellStyle name="20% - Accent3 2 2 2 5 4" xfId="10408" xr:uid="{A2ADB1B7-AF83-4B11-8AD2-4E3B6AD8261F}"/>
    <cellStyle name="20% - Accent3 2 2 2 5 5" xfId="18849" xr:uid="{86E22D00-C7B2-4424-90D7-91AD5F96C800}"/>
    <cellStyle name="20% - Accent3 2 2 2 6" xfId="2283" xr:uid="{00000000-0005-0000-0000-000055010000}"/>
    <cellStyle name="20% - Accent3 2 2 2 6 2" xfId="6589" xr:uid="{00000000-0005-0000-0000-000056010000}"/>
    <cellStyle name="20% - Accent3 2 2 2 6 2 2" xfId="15039" xr:uid="{B102FABD-4E71-44C8-972A-94FBF6463C12}"/>
    <cellStyle name="20% - Accent3 2 2 2 6 2 3" xfId="23479" xr:uid="{3D4234DB-71ED-459D-B513-98A7F77BD2BF}"/>
    <cellStyle name="20% - Accent3 2 2 2 6 3" xfId="10821" xr:uid="{29DCC39A-6ED4-4354-9EF1-9209E2E0FDCC}"/>
    <cellStyle name="20% - Accent3 2 2 2 6 4" xfId="19262" xr:uid="{1A8BEB3D-D3A5-47A6-BC1F-8477DA64889E}"/>
    <cellStyle name="20% - Accent3 2 2 2 7" xfId="4523" xr:uid="{00000000-0005-0000-0000-000057010000}"/>
    <cellStyle name="20% - Accent3 2 2 2 7 2" xfId="12973" xr:uid="{BF19778E-95BD-4815-986E-B97F20652262}"/>
    <cellStyle name="20% - Accent3 2 2 2 7 3" xfId="21413" xr:uid="{EE132B51-D721-40FE-868C-BC10351F41B3}"/>
    <cellStyle name="20% - Accent3 2 2 2 8" xfId="8755" xr:uid="{C4A624E6-FFEA-4697-A8FC-5F55D1D8AA4B}"/>
    <cellStyle name="20% - Accent3 2 2 2 9" xfId="17196" xr:uid="{EE5A6EE3-71B1-4B1E-9AB8-296050864CCA}"/>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5DF20ED2-D726-4CB1-A35B-53598458037A}"/>
    <cellStyle name="20% - Accent3 2 2 3 2 2 3" xfId="23971" xr:uid="{EF375FFD-0865-4F6E-9F0C-7C6157BEFC0C}"/>
    <cellStyle name="20% - Accent3 2 2 3 2 3" xfId="11313" xr:uid="{69248161-1CF5-4E71-98B9-B208EA9AFA86}"/>
    <cellStyle name="20% - Accent3 2 2 3 2 4" xfId="19754" xr:uid="{B45B54BB-4A6B-48C0-81E1-391F7457A983}"/>
    <cellStyle name="20% - Accent3 2 2 3 3" xfId="4936" xr:uid="{00000000-0005-0000-0000-00005B010000}"/>
    <cellStyle name="20% - Accent3 2 2 3 3 2" xfId="13386" xr:uid="{BC659B55-5F46-4B11-9A53-3E0223131FC9}"/>
    <cellStyle name="20% - Accent3 2 2 3 3 3" xfId="21826" xr:uid="{2CFC6905-D071-4633-9613-ED371BD5DA8A}"/>
    <cellStyle name="20% - Accent3 2 2 3 4" xfId="9168" xr:uid="{4E6FCF45-0836-43CB-AFCB-F0084E064BF2}"/>
    <cellStyle name="20% - Accent3 2 2 3 5" xfId="17609" xr:uid="{4401C57D-2AD8-4352-A748-BB19EE83108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B07E8481-CA87-4462-A198-DB9A4A3A4940}"/>
    <cellStyle name="20% - Accent3 2 2 4 2 2 3" xfId="24384" xr:uid="{D08E4F75-12D2-4087-BD0D-42D64B566D2F}"/>
    <cellStyle name="20% - Accent3 2 2 4 2 3" xfId="11726" xr:uid="{C232DCB7-005F-43C4-BF7C-FE7CCA98176F}"/>
    <cellStyle name="20% - Accent3 2 2 4 2 4" xfId="20167" xr:uid="{2AEF6C31-64A6-4496-853D-311774CB0114}"/>
    <cellStyle name="20% - Accent3 2 2 4 3" xfId="5349" xr:uid="{00000000-0005-0000-0000-00005F010000}"/>
    <cellStyle name="20% - Accent3 2 2 4 3 2" xfId="13799" xr:uid="{B5CCDE82-0F8F-4E24-839F-F75DA17ECCA2}"/>
    <cellStyle name="20% - Accent3 2 2 4 3 3" xfId="22239" xr:uid="{A60D98CC-441A-4AB1-B26B-B2707CFB9380}"/>
    <cellStyle name="20% - Accent3 2 2 4 4" xfId="9581" xr:uid="{C5847B16-7D30-4697-B542-B97222550131}"/>
    <cellStyle name="20% - Accent3 2 2 4 5" xfId="18022" xr:uid="{58C95BCA-985C-4A50-8562-7735B67EB4F0}"/>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A45DC788-A70B-475C-A35B-EAD1BBE22702}"/>
    <cellStyle name="20% - Accent3 2 2 5 2 2 3" xfId="24797" xr:uid="{C0540531-FF6C-4E91-B7A3-B0B122B2A094}"/>
    <cellStyle name="20% - Accent3 2 2 5 2 3" xfId="12139" xr:uid="{9083D3EC-A062-4117-9842-A410B4507139}"/>
    <cellStyle name="20% - Accent3 2 2 5 2 4" xfId="20580" xr:uid="{E0373FEB-284E-4DC3-A5B6-5E1EAE63E27E}"/>
    <cellStyle name="20% - Accent3 2 2 5 3" xfId="5762" xr:uid="{00000000-0005-0000-0000-000063010000}"/>
    <cellStyle name="20% - Accent3 2 2 5 3 2" xfId="14212" xr:uid="{6DC14B70-27BB-4A6E-8C48-B9A4391E13A7}"/>
    <cellStyle name="20% - Accent3 2 2 5 3 3" xfId="22652" xr:uid="{40908765-7805-497B-BE7E-4E532E7C6FD5}"/>
    <cellStyle name="20% - Accent3 2 2 5 4" xfId="9994" xr:uid="{BE29C09D-A3D9-46A7-A0C6-E0A75C11050E}"/>
    <cellStyle name="20% - Accent3 2 2 5 5" xfId="18435" xr:uid="{712A8D76-E910-41C1-ABD1-091AA470CC2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166EEE89-5E89-4C88-9698-CC495CDBF9A3}"/>
    <cellStyle name="20% - Accent3 2 2 6 2 2 3" xfId="25210" xr:uid="{5A62C5B4-194A-4D25-902B-BCB6301D94F0}"/>
    <cellStyle name="20% - Accent3 2 2 6 2 3" xfId="12552" xr:uid="{FF59B428-5B9B-40C9-9B54-C30E1A510AFB}"/>
    <cellStyle name="20% - Accent3 2 2 6 2 4" xfId="20993" xr:uid="{B9D00DF4-9E7D-4591-9380-165E6F57C2BE}"/>
    <cellStyle name="20% - Accent3 2 2 6 3" xfId="6175" xr:uid="{00000000-0005-0000-0000-000067010000}"/>
    <cellStyle name="20% - Accent3 2 2 6 3 2" xfId="14625" xr:uid="{7C6A4DAD-E416-44CE-90D5-BDC9BBB00226}"/>
    <cellStyle name="20% - Accent3 2 2 6 3 3" xfId="23065" xr:uid="{87580CF5-A042-4AAC-B38E-B625B8225398}"/>
    <cellStyle name="20% - Accent3 2 2 6 4" xfId="10407" xr:uid="{29876ED2-94CC-4527-8229-A3F8930CCD81}"/>
    <cellStyle name="20% - Accent3 2 2 6 5" xfId="18848" xr:uid="{6AE5D218-4B29-49B3-A07E-D20E45154B65}"/>
    <cellStyle name="20% - Accent3 2 2 7" xfId="2282" xr:uid="{00000000-0005-0000-0000-000068010000}"/>
    <cellStyle name="20% - Accent3 2 2 7 2" xfId="6588" xr:uid="{00000000-0005-0000-0000-000069010000}"/>
    <cellStyle name="20% - Accent3 2 2 7 2 2" xfId="15038" xr:uid="{41B56F67-9088-4B1E-9D4A-4C2DCFEE79F8}"/>
    <cellStyle name="20% - Accent3 2 2 7 2 3" xfId="23478" xr:uid="{70EA1BAD-65FE-4437-9FC2-8420A062D859}"/>
    <cellStyle name="20% - Accent3 2 2 7 3" xfId="10820" xr:uid="{75050BBC-6948-49DD-BC03-3A23E7871F0B}"/>
    <cellStyle name="20% - Accent3 2 2 7 4" xfId="19261" xr:uid="{F1FB2904-B8A6-460C-8765-8FFCDF275A7D}"/>
    <cellStyle name="20% - Accent3 2 2 8" xfId="4522" xr:uid="{00000000-0005-0000-0000-00006A010000}"/>
    <cellStyle name="20% - Accent3 2 2 8 2" xfId="12972" xr:uid="{87FAD5B4-DAE4-4845-8AA5-F51145CED391}"/>
    <cellStyle name="20% - Accent3 2 2 8 3" xfId="21412" xr:uid="{5F2D0F35-5A93-428B-A98B-75753D4EE007}"/>
    <cellStyle name="20% - Accent3 2 2 9" xfId="8754" xr:uid="{A93A3030-3D90-4FFC-BCEC-7925DCD1FCD8}"/>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DA1CC36A-284A-4180-B008-7864E90B8F1C}"/>
    <cellStyle name="20% - Accent3 2 3 2 2 2 3" xfId="23973" xr:uid="{FDF035C5-381C-4A60-BCE6-29E5FB11E242}"/>
    <cellStyle name="20% - Accent3 2 3 2 2 3" xfId="11315" xr:uid="{9DEDECD6-FFF1-48F9-BD00-39CC997DCC16}"/>
    <cellStyle name="20% - Accent3 2 3 2 2 4" xfId="19756" xr:uid="{3966DF0D-8FDD-43D1-800B-CA2933828E7E}"/>
    <cellStyle name="20% - Accent3 2 3 2 3" xfId="4938" xr:uid="{00000000-0005-0000-0000-00006F010000}"/>
    <cellStyle name="20% - Accent3 2 3 2 3 2" xfId="13388" xr:uid="{CACC2219-6F48-4508-8BD1-A6614D0F0C37}"/>
    <cellStyle name="20% - Accent3 2 3 2 3 3" xfId="21828" xr:uid="{8BDEFA3B-63D3-41A6-8C69-3AECEDB992A6}"/>
    <cellStyle name="20% - Accent3 2 3 2 4" xfId="9170" xr:uid="{114A1B4A-5775-4FA5-A0EC-AC6A353F3265}"/>
    <cellStyle name="20% - Accent3 2 3 2 5" xfId="17611" xr:uid="{580C7B6E-BF02-4E71-AAE3-7BFB025FF24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D6ECF824-0C7D-4735-80CA-691DDA2CEB26}"/>
    <cellStyle name="20% - Accent3 2 3 3 2 2 3" xfId="24386" xr:uid="{A31AC251-00EB-4B6E-8EC6-E6F77DE816DE}"/>
    <cellStyle name="20% - Accent3 2 3 3 2 3" xfId="11728" xr:uid="{3BA6C92E-A7A1-443E-9827-6F9D7877FF00}"/>
    <cellStyle name="20% - Accent3 2 3 3 2 4" xfId="20169" xr:uid="{CD008B05-DE31-4C9D-B065-691507FC7991}"/>
    <cellStyle name="20% - Accent3 2 3 3 3" xfId="5351" xr:uid="{00000000-0005-0000-0000-000073010000}"/>
    <cellStyle name="20% - Accent3 2 3 3 3 2" xfId="13801" xr:uid="{D74B5C5B-CCBC-475D-8D65-D35871578FC9}"/>
    <cellStyle name="20% - Accent3 2 3 3 3 3" xfId="22241" xr:uid="{4ED94F2C-7DAC-4060-AB7A-64CAAC2BA361}"/>
    <cellStyle name="20% - Accent3 2 3 3 4" xfId="9583" xr:uid="{2E221EFF-2933-4A51-88F3-2A22A0544BC7}"/>
    <cellStyle name="20% - Accent3 2 3 3 5" xfId="18024" xr:uid="{A7C01D6E-3580-4125-8D39-7B36DA24E326}"/>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B3F0171B-5718-4093-B1CC-CC7C28DF866E}"/>
    <cellStyle name="20% - Accent3 2 3 4 2 2 3" xfId="24799" xr:uid="{F6FBE25D-4192-4E1F-A6FE-30A07499E654}"/>
    <cellStyle name="20% - Accent3 2 3 4 2 3" xfId="12141" xr:uid="{BC957693-A004-44E9-93AA-88F880C6AEB6}"/>
    <cellStyle name="20% - Accent3 2 3 4 2 4" xfId="20582" xr:uid="{F1E56BA1-47F9-4608-A91E-51B57894A39D}"/>
    <cellStyle name="20% - Accent3 2 3 4 3" xfId="5764" xr:uid="{00000000-0005-0000-0000-000077010000}"/>
    <cellStyle name="20% - Accent3 2 3 4 3 2" xfId="14214" xr:uid="{53ABFF31-6CD2-4FAD-8473-E6882DECACF5}"/>
    <cellStyle name="20% - Accent3 2 3 4 3 3" xfId="22654" xr:uid="{FCB0A708-EA21-439D-8789-9A0C66F787A9}"/>
    <cellStyle name="20% - Accent3 2 3 4 4" xfId="9996" xr:uid="{770C8CCE-561C-4DB7-A44F-FE0CA29A18DA}"/>
    <cellStyle name="20% - Accent3 2 3 4 5" xfId="18437" xr:uid="{1F1C01D8-51D6-42EE-8E15-60A60533F50A}"/>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7E6B2179-8FDD-4742-8D12-7D8ED28ECA46}"/>
    <cellStyle name="20% - Accent3 2 3 5 2 2 3" xfId="25212" xr:uid="{23366F68-CF3A-464E-91E4-CA295269884D}"/>
    <cellStyle name="20% - Accent3 2 3 5 2 3" xfId="12554" xr:uid="{79E5C1A7-365F-4CC0-B467-CDCE806083C1}"/>
    <cellStyle name="20% - Accent3 2 3 5 2 4" xfId="20995" xr:uid="{69F1DAA0-D2DA-4F1B-9A97-FA5FB49F8C1E}"/>
    <cellStyle name="20% - Accent3 2 3 5 3" xfId="6177" xr:uid="{00000000-0005-0000-0000-00007B010000}"/>
    <cellStyle name="20% - Accent3 2 3 5 3 2" xfId="14627" xr:uid="{F0BDB821-6134-4F9B-9C5A-9C2673FB6D3A}"/>
    <cellStyle name="20% - Accent3 2 3 5 3 3" xfId="23067" xr:uid="{EB633D34-9AEC-455C-A7AA-49F8900F2EDF}"/>
    <cellStyle name="20% - Accent3 2 3 5 4" xfId="10409" xr:uid="{88C3B076-AE47-4DEE-8D57-34D99F92ED44}"/>
    <cellStyle name="20% - Accent3 2 3 5 5" xfId="18850" xr:uid="{0D201A54-698C-480C-AAFF-9D6A246E230D}"/>
    <cellStyle name="20% - Accent3 2 3 6" xfId="2284" xr:uid="{00000000-0005-0000-0000-00007C010000}"/>
    <cellStyle name="20% - Accent3 2 3 6 2" xfId="6590" xr:uid="{00000000-0005-0000-0000-00007D010000}"/>
    <cellStyle name="20% - Accent3 2 3 6 2 2" xfId="15040" xr:uid="{9A79BC40-A3FA-4AA2-8F92-5666CFDD7092}"/>
    <cellStyle name="20% - Accent3 2 3 6 2 3" xfId="23480" xr:uid="{E417CBE5-FAAA-4C3B-99E7-D4DE692C211A}"/>
    <cellStyle name="20% - Accent3 2 3 6 3" xfId="10822" xr:uid="{FC852BBC-50FD-46AF-91FB-FB040F3A8018}"/>
    <cellStyle name="20% - Accent3 2 3 6 4" xfId="19263" xr:uid="{F5B4C692-97A2-468E-AB2E-419AC77238B0}"/>
    <cellStyle name="20% - Accent3 2 3 7" xfId="4524" xr:uid="{00000000-0005-0000-0000-00007E010000}"/>
    <cellStyle name="20% - Accent3 2 3 7 2" xfId="12974" xr:uid="{30897802-2BDD-48D8-99F6-3D128E406C7E}"/>
    <cellStyle name="20% - Accent3 2 3 7 3" xfId="21414" xr:uid="{5BEC711A-D5A8-4EEC-A75E-9CD9176C2EE6}"/>
    <cellStyle name="20% - Accent3 2 3 8" xfId="8756" xr:uid="{80A7E64F-6573-460D-859D-C132C7CA0CDC}"/>
    <cellStyle name="20% - Accent3 2 3 9" xfId="17197" xr:uid="{A131109E-2C9F-4942-ACF4-E79F3FB06E42}"/>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289E13BC-52AC-4B43-BB61-46DDD509C0B8}"/>
    <cellStyle name="20% - Accent3 2 4 2 2 3" xfId="23970" xr:uid="{841AE495-CBB6-4A7E-AEBE-8906D57A3D6B}"/>
    <cellStyle name="20% - Accent3 2 4 2 3" xfId="11312" xr:uid="{49BB6CAD-8087-41EE-A3FA-D4A6676C5092}"/>
    <cellStyle name="20% - Accent3 2 4 2 4" xfId="19753" xr:uid="{5FCF54A9-803F-4073-8DF1-BEDDC820782E}"/>
    <cellStyle name="20% - Accent3 2 4 3" xfId="4935" xr:uid="{00000000-0005-0000-0000-000082010000}"/>
    <cellStyle name="20% - Accent3 2 4 3 2" xfId="13385" xr:uid="{48EA2895-B6E9-447A-AAB1-FA3F12F6129A}"/>
    <cellStyle name="20% - Accent3 2 4 3 3" xfId="21825" xr:uid="{1E722FF4-AFF7-4C29-B94D-10F8850CF9BF}"/>
    <cellStyle name="20% - Accent3 2 4 4" xfId="9167" xr:uid="{F18E505B-1E0A-4F4D-92B8-4D29C3376EBC}"/>
    <cellStyle name="20% - Accent3 2 4 5" xfId="17608" xr:uid="{1CFF5E1E-197E-4E35-93C7-429771AFD458}"/>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A3004687-5518-45D4-9786-21DAEAE485AC}"/>
    <cellStyle name="20% - Accent3 2 5 2 2 3" xfId="24383" xr:uid="{17E851DA-0E92-4446-A763-7D75E2F82CCF}"/>
    <cellStyle name="20% - Accent3 2 5 2 3" xfId="11725" xr:uid="{A82F07EE-4DD6-4A7A-A10C-FC564497ACD9}"/>
    <cellStyle name="20% - Accent3 2 5 2 4" xfId="20166" xr:uid="{9DBE40D8-D272-4B3F-80F5-F2A440D93EC1}"/>
    <cellStyle name="20% - Accent3 2 5 3" xfId="5348" xr:uid="{00000000-0005-0000-0000-000086010000}"/>
    <cellStyle name="20% - Accent3 2 5 3 2" xfId="13798" xr:uid="{7864C369-E764-4D25-BABB-72F727C12F34}"/>
    <cellStyle name="20% - Accent3 2 5 3 3" xfId="22238" xr:uid="{DCC87D45-A157-4836-83B5-1133FF0B0FB2}"/>
    <cellStyle name="20% - Accent3 2 5 4" xfId="9580" xr:uid="{992485A9-E136-4FFD-BB2F-550D4EBDF176}"/>
    <cellStyle name="20% - Accent3 2 5 5" xfId="18021" xr:uid="{DD119435-D044-49F4-B6F4-98557DC7E1C2}"/>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53729EDD-3513-4D0F-8013-A9966C723E04}"/>
    <cellStyle name="20% - Accent3 2 6 2 2 3" xfId="24796" xr:uid="{F18D5C74-089B-4063-BB35-C5937AE03578}"/>
    <cellStyle name="20% - Accent3 2 6 2 3" xfId="12138" xr:uid="{41A1AC1B-E014-471E-B9D5-9DA664C972B8}"/>
    <cellStyle name="20% - Accent3 2 6 2 4" xfId="20579" xr:uid="{68628CF8-1B46-4B9E-B748-DB873A599BD8}"/>
    <cellStyle name="20% - Accent3 2 6 3" xfId="5761" xr:uid="{00000000-0005-0000-0000-00008A010000}"/>
    <cellStyle name="20% - Accent3 2 6 3 2" xfId="14211" xr:uid="{662686D3-614F-406E-80ED-ECD39491AF92}"/>
    <cellStyle name="20% - Accent3 2 6 3 3" xfId="22651" xr:uid="{5A0541BD-90D8-4054-9FC9-332A991C4296}"/>
    <cellStyle name="20% - Accent3 2 6 4" xfId="9993" xr:uid="{E7B90369-8F24-45BD-843C-E984EFA12103}"/>
    <cellStyle name="20% - Accent3 2 6 5" xfId="18434" xr:uid="{280CA65E-2A8C-4830-B0AE-25A4A16C73DA}"/>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9BBB4EBE-7B84-415B-8634-181FA9F28DAE}"/>
    <cellStyle name="20% - Accent3 2 7 2 2 3" xfId="25209" xr:uid="{C970B423-13D5-45FF-A5C6-1F18CDBE9B1B}"/>
    <cellStyle name="20% - Accent3 2 7 2 3" xfId="12551" xr:uid="{6CF7706E-10E8-4D1F-9A0B-819EF3C11C1B}"/>
    <cellStyle name="20% - Accent3 2 7 2 4" xfId="20992" xr:uid="{3FBA9AA4-56FE-4AF4-A2CE-A4F9209BE83C}"/>
    <cellStyle name="20% - Accent3 2 7 3" xfId="6174" xr:uid="{00000000-0005-0000-0000-00008E010000}"/>
    <cellStyle name="20% - Accent3 2 7 3 2" xfId="14624" xr:uid="{3AA635FE-5782-449A-B406-AC30B617972E}"/>
    <cellStyle name="20% - Accent3 2 7 3 3" xfId="23064" xr:uid="{DF8E2F59-92B5-46F4-9AF3-87407ABF4C1A}"/>
    <cellStyle name="20% - Accent3 2 7 4" xfId="10406" xr:uid="{7AC69577-0F23-4C08-BB65-C90CA983CA7F}"/>
    <cellStyle name="20% - Accent3 2 7 5" xfId="18847" xr:uid="{B96736B3-933F-479B-ABD4-CF67B758788E}"/>
    <cellStyle name="20% - Accent3 2 8" xfId="2281" xr:uid="{00000000-0005-0000-0000-00008F010000}"/>
    <cellStyle name="20% - Accent3 2 8 2" xfId="6587" xr:uid="{00000000-0005-0000-0000-000090010000}"/>
    <cellStyle name="20% - Accent3 2 8 2 2" xfId="15037" xr:uid="{B14D108F-CE79-4C88-B943-F91B4ADB62FB}"/>
    <cellStyle name="20% - Accent3 2 8 2 3" xfId="23477" xr:uid="{DFF6D244-5260-4125-B6F3-11547590046F}"/>
    <cellStyle name="20% - Accent3 2 8 3" xfId="10819" xr:uid="{A6088653-2090-4E3B-80E9-6F33B24F28E0}"/>
    <cellStyle name="20% - Accent3 2 8 4" xfId="19260" xr:uid="{3A31C760-048D-4B85-A168-4419856EE6AF}"/>
    <cellStyle name="20% - Accent3 2 9" xfId="4521" xr:uid="{00000000-0005-0000-0000-000091010000}"/>
    <cellStyle name="20% - Accent3 2 9 2" xfId="12971" xr:uid="{5471EA16-4BD3-4DB0-A1A8-A5F6BC232848}"/>
    <cellStyle name="20% - Accent3 2 9 3" xfId="21411" xr:uid="{ABAC643B-C132-4883-915C-00A39E85AD5B}"/>
    <cellStyle name="20% - Accent3 3" xfId="22" xr:uid="{00000000-0005-0000-0000-000092010000}"/>
    <cellStyle name="20% - Accent3 3 10" xfId="17198" xr:uid="{D6A37C0D-8753-4190-9D69-472A6FD1C2B1}"/>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56217D0A-0339-401A-94D6-577DD44CEEA8}"/>
    <cellStyle name="20% - Accent3 3 2 2 2 2 3" xfId="23975" xr:uid="{2AA4C1AC-8E01-42D6-B38B-974E84984CE6}"/>
    <cellStyle name="20% - Accent3 3 2 2 2 3" xfId="11317" xr:uid="{6B9DE8DC-0239-4C90-B9B5-42235892D885}"/>
    <cellStyle name="20% - Accent3 3 2 2 2 4" xfId="19758" xr:uid="{96D913A0-A65E-45FE-91ED-E3F7E8D7976E}"/>
    <cellStyle name="20% - Accent3 3 2 2 3" xfId="4940" xr:uid="{00000000-0005-0000-0000-000097010000}"/>
    <cellStyle name="20% - Accent3 3 2 2 3 2" xfId="13390" xr:uid="{2E2991AB-E1A1-4313-A934-052E70F2EB20}"/>
    <cellStyle name="20% - Accent3 3 2 2 3 3" xfId="21830" xr:uid="{5DBE7E3A-FE6F-458E-AB24-A287867D7652}"/>
    <cellStyle name="20% - Accent3 3 2 2 4" xfId="9172" xr:uid="{BC66DAC6-5938-46A7-A49F-743F3CBC5EE5}"/>
    <cellStyle name="20% - Accent3 3 2 2 5" xfId="17613" xr:uid="{462B9F69-B5D3-4CF7-9857-97C7B0AC34C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CD6B26A0-B946-49D8-9836-D5B37177C13F}"/>
    <cellStyle name="20% - Accent3 3 2 3 2 2 3" xfId="24388" xr:uid="{472DE0E9-FAC6-462A-A036-C2404F3A7D22}"/>
    <cellStyle name="20% - Accent3 3 2 3 2 3" xfId="11730" xr:uid="{C31F4180-1359-4CF6-A5E0-D9AACC17DD4D}"/>
    <cellStyle name="20% - Accent3 3 2 3 2 4" xfId="20171" xr:uid="{C4932B38-BF00-4EB2-912F-D8D64A22C7A5}"/>
    <cellStyle name="20% - Accent3 3 2 3 3" xfId="5353" xr:uid="{00000000-0005-0000-0000-00009B010000}"/>
    <cellStyle name="20% - Accent3 3 2 3 3 2" xfId="13803" xr:uid="{193EBD64-388B-46B8-981D-F875253416A5}"/>
    <cellStyle name="20% - Accent3 3 2 3 3 3" xfId="22243" xr:uid="{13503209-A875-4B55-B236-884776CAC7AA}"/>
    <cellStyle name="20% - Accent3 3 2 3 4" xfId="9585" xr:uid="{59B6579C-5A2D-4907-8186-3737C86681CC}"/>
    <cellStyle name="20% - Accent3 3 2 3 5" xfId="18026" xr:uid="{6D82AB50-EC9C-4361-B104-0415B997263B}"/>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662AFEA5-6415-4B24-B8E2-CA8DE880B4BF}"/>
    <cellStyle name="20% - Accent3 3 2 4 2 2 3" xfId="24801" xr:uid="{5E0CEDB9-F782-4FB6-8C49-8877EFD687CC}"/>
    <cellStyle name="20% - Accent3 3 2 4 2 3" xfId="12143" xr:uid="{654A102B-660A-4269-B166-B118C9249937}"/>
    <cellStyle name="20% - Accent3 3 2 4 2 4" xfId="20584" xr:uid="{0AA3B2D1-A59E-4F1C-AFCF-8323CF820210}"/>
    <cellStyle name="20% - Accent3 3 2 4 3" xfId="5766" xr:uid="{00000000-0005-0000-0000-00009F010000}"/>
    <cellStyle name="20% - Accent3 3 2 4 3 2" xfId="14216" xr:uid="{1CFF21FD-0050-45B7-8C49-1A10ACBB46D4}"/>
    <cellStyle name="20% - Accent3 3 2 4 3 3" xfId="22656" xr:uid="{48E52B38-6195-4838-B636-1990C4ABE058}"/>
    <cellStyle name="20% - Accent3 3 2 4 4" xfId="9998" xr:uid="{E0850AC6-1B43-48FA-85D5-55783621697E}"/>
    <cellStyle name="20% - Accent3 3 2 4 5" xfId="18439" xr:uid="{D48E3270-16A4-4A06-B68D-86C19C2B857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C17728F4-256D-48D9-B97A-61938E3C8E47}"/>
    <cellStyle name="20% - Accent3 3 2 5 2 2 3" xfId="25214" xr:uid="{128B4202-6426-4FE1-B501-DBEBFEE05605}"/>
    <cellStyle name="20% - Accent3 3 2 5 2 3" xfId="12556" xr:uid="{FE317F22-29D3-4CFD-931A-A2A48786FB79}"/>
    <cellStyle name="20% - Accent3 3 2 5 2 4" xfId="20997" xr:uid="{C05CFB09-9627-4FFD-B263-8911217BB531}"/>
    <cellStyle name="20% - Accent3 3 2 5 3" xfId="6179" xr:uid="{00000000-0005-0000-0000-0000A3010000}"/>
    <cellStyle name="20% - Accent3 3 2 5 3 2" xfId="14629" xr:uid="{A05EDDE4-0658-4386-AFB8-8905FD2DADE6}"/>
    <cellStyle name="20% - Accent3 3 2 5 3 3" xfId="23069" xr:uid="{AE1D1A5B-8DE5-4F18-9FD6-96C48621C967}"/>
    <cellStyle name="20% - Accent3 3 2 5 4" xfId="10411" xr:uid="{3633110B-4A7C-45B4-879C-F3E80649A97F}"/>
    <cellStyle name="20% - Accent3 3 2 5 5" xfId="18852" xr:uid="{E7C45191-A951-49CB-9BF6-C6063AD894C3}"/>
    <cellStyle name="20% - Accent3 3 2 6" xfId="2286" xr:uid="{00000000-0005-0000-0000-0000A4010000}"/>
    <cellStyle name="20% - Accent3 3 2 6 2" xfId="6592" xr:uid="{00000000-0005-0000-0000-0000A5010000}"/>
    <cellStyle name="20% - Accent3 3 2 6 2 2" xfId="15042" xr:uid="{15F1DEA8-CB65-42FE-B1DC-EB483F7C411B}"/>
    <cellStyle name="20% - Accent3 3 2 6 2 3" xfId="23482" xr:uid="{4812CACF-5E71-4AD0-A969-9458A21AB525}"/>
    <cellStyle name="20% - Accent3 3 2 6 3" xfId="10824" xr:uid="{58EF96EF-CA5F-4A76-88CF-887BFD8078CE}"/>
    <cellStyle name="20% - Accent3 3 2 6 4" xfId="19265" xr:uid="{99C295D8-8332-4BEE-BE7C-554AC307027F}"/>
    <cellStyle name="20% - Accent3 3 2 7" xfId="4526" xr:uid="{00000000-0005-0000-0000-0000A6010000}"/>
    <cellStyle name="20% - Accent3 3 2 7 2" xfId="12976" xr:uid="{178EF4BA-D563-45E2-B0F2-61DB8225E4EC}"/>
    <cellStyle name="20% - Accent3 3 2 7 3" xfId="21416" xr:uid="{DF03C481-26B6-4BAA-80B2-5F5B5F22607E}"/>
    <cellStyle name="20% - Accent3 3 2 8" xfId="8758" xr:uid="{B21BE956-E61A-423A-B3CC-33536DCDF642}"/>
    <cellStyle name="20% - Accent3 3 2 9" xfId="17199" xr:uid="{9C6A76D6-D037-4BF0-AE9F-2DCBEF2EB434}"/>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929E3D01-C5B3-43DB-B43D-154E78FFBC2E}"/>
    <cellStyle name="20% - Accent3 3 3 2 2 3" xfId="23974" xr:uid="{99E86E63-9BCB-4E58-947A-4F6BAA94F7E5}"/>
    <cellStyle name="20% - Accent3 3 3 2 3" xfId="11316" xr:uid="{3E6BC0AF-FD0A-4DD3-85A5-78D57CC0627A}"/>
    <cellStyle name="20% - Accent3 3 3 2 4" xfId="19757" xr:uid="{7BD2C475-F434-4EBD-896C-A6F96BDF6EBC}"/>
    <cellStyle name="20% - Accent3 3 3 3" xfId="4939" xr:uid="{00000000-0005-0000-0000-0000AA010000}"/>
    <cellStyle name="20% - Accent3 3 3 3 2" xfId="13389" xr:uid="{80CB3B8F-2094-4442-9537-F0B81F7BA873}"/>
    <cellStyle name="20% - Accent3 3 3 3 3" xfId="21829" xr:uid="{12643007-FA28-42E1-8A18-9BB051D0DE06}"/>
    <cellStyle name="20% - Accent3 3 3 4" xfId="9171" xr:uid="{55C7CD62-1DCB-4B27-AD4E-A5AB221FD9B1}"/>
    <cellStyle name="20% - Accent3 3 3 5" xfId="17612" xr:uid="{C7BF321F-7E24-49BC-BFF5-14585D432531}"/>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D493FD0F-ABD2-4A23-8D4D-CF03140D6864}"/>
    <cellStyle name="20% - Accent3 3 4 2 2 3" xfId="24387" xr:uid="{AAE7063F-D4B9-4EE5-BA52-B4910A0F6145}"/>
    <cellStyle name="20% - Accent3 3 4 2 3" xfId="11729" xr:uid="{91166A8E-AE11-483B-95D2-8B187A90A63F}"/>
    <cellStyle name="20% - Accent3 3 4 2 4" xfId="20170" xr:uid="{E1C360EB-4611-4447-8BC4-BD52C9B67668}"/>
    <cellStyle name="20% - Accent3 3 4 3" xfId="5352" xr:uid="{00000000-0005-0000-0000-0000AE010000}"/>
    <cellStyle name="20% - Accent3 3 4 3 2" xfId="13802" xr:uid="{1509AAA7-78B4-4B70-A045-43042D9B4BA5}"/>
    <cellStyle name="20% - Accent3 3 4 3 3" xfId="22242" xr:uid="{949C9F58-14D2-48B4-955C-5F52C0553F6B}"/>
    <cellStyle name="20% - Accent3 3 4 4" xfId="9584" xr:uid="{EC383B68-E700-4B1C-8B09-A482BB7A86CF}"/>
    <cellStyle name="20% - Accent3 3 4 5" xfId="18025" xr:uid="{6CC0BFBB-A3CB-4766-B83C-AB3569AC5965}"/>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62FA68D6-89C6-468B-BF09-BC0D29686D05}"/>
    <cellStyle name="20% - Accent3 3 5 2 2 3" xfId="24800" xr:uid="{E16B3BF5-68E9-4A02-B756-8F974B87430C}"/>
    <cellStyle name="20% - Accent3 3 5 2 3" xfId="12142" xr:uid="{F9FE6E1A-DB04-44A3-93F5-11B190BB00B3}"/>
    <cellStyle name="20% - Accent3 3 5 2 4" xfId="20583" xr:uid="{04FF06E3-1163-4585-8894-90D1C0F1CE82}"/>
    <cellStyle name="20% - Accent3 3 5 3" xfId="5765" xr:uid="{00000000-0005-0000-0000-0000B2010000}"/>
    <cellStyle name="20% - Accent3 3 5 3 2" xfId="14215" xr:uid="{5ADE6CA0-771A-4B73-A950-CAF4E919850C}"/>
    <cellStyle name="20% - Accent3 3 5 3 3" xfId="22655" xr:uid="{84DD9A01-672B-4D0B-8FC8-C6AA18BFBA66}"/>
    <cellStyle name="20% - Accent3 3 5 4" xfId="9997" xr:uid="{7C85B822-DDA1-4642-B0B5-E05E0B9E76B4}"/>
    <cellStyle name="20% - Accent3 3 5 5" xfId="18438" xr:uid="{42F4FC0F-8D79-4677-82CB-B7DAA6CD2A4A}"/>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C7C40346-26C5-4B46-BE1C-097D752500AA}"/>
    <cellStyle name="20% - Accent3 3 6 2 2 3" xfId="25213" xr:uid="{D55C8072-8298-46CD-AC1C-9D524035D4D1}"/>
    <cellStyle name="20% - Accent3 3 6 2 3" xfId="12555" xr:uid="{A7573886-771B-43DB-827F-2D4234119C2C}"/>
    <cellStyle name="20% - Accent3 3 6 2 4" xfId="20996" xr:uid="{97D27ACF-13BF-4448-8B27-1CE13190D8CA}"/>
    <cellStyle name="20% - Accent3 3 6 3" xfId="6178" xr:uid="{00000000-0005-0000-0000-0000B6010000}"/>
    <cellStyle name="20% - Accent3 3 6 3 2" xfId="14628" xr:uid="{3B18E412-9255-4224-BEF1-2523BDD6DD44}"/>
    <cellStyle name="20% - Accent3 3 6 3 3" xfId="23068" xr:uid="{E8877F42-2EDC-4D21-BC79-AF435B5A0388}"/>
    <cellStyle name="20% - Accent3 3 6 4" xfId="10410" xr:uid="{4551A874-A48B-45F5-B924-CCCDC5CCCB5F}"/>
    <cellStyle name="20% - Accent3 3 6 5" xfId="18851" xr:uid="{60248E4D-8249-4976-99D5-F00577EB8858}"/>
    <cellStyle name="20% - Accent3 3 7" xfId="2285" xr:uid="{00000000-0005-0000-0000-0000B7010000}"/>
    <cellStyle name="20% - Accent3 3 7 2" xfId="6591" xr:uid="{00000000-0005-0000-0000-0000B8010000}"/>
    <cellStyle name="20% - Accent3 3 7 2 2" xfId="15041" xr:uid="{9F98BF30-E224-44D2-A3D3-8F28E29DFC54}"/>
    <cellStyle name="20% - Accent3 3 7 2 3" xfId="23481" xr:uid="{AA3297EB-7073-4E8D-9FFF-34434355162C}"/>
    <cellStyle name="20% - Accent3 3 7 3" xfId="10823" xr:uid="{6B0845D7-EB1D-456A-ABEE-EAAA6C492F80}"/>
    <cellStyle name="20% - Accent3 3 7 4" xfId="19264" xr:uid="{2584636F-220C-40C8-8547-D33FE63C4B91}"/>
    <cellStyle name="20% - Accent3 3 8" xfId="4525" xr:uid="{00000000-0005-0000-0000-0000B9010000}"/>
    <cellStyle name="20% - Accent3 3 8 2" xfId="12975" xr:uid="{FAE8AD95-14D4-43FC-B7D7-837CEB0584E0}"/>
    <cellStyle name="20% - Accent3 3 8 3" xfId="21415" xr:uid="{72FC35E5-8A5C-43DF-95FD-D01BCDD5C1F1}"/>
    <cellStyle name="20% - Accent3 3 9" xfId="8757" xr:uid="{27E82A36-2FD1-4102-89A3-638B7D34A7B3}"/>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1ACA48EB-0066-4B5B-BBA2-3796701E2188}"/>
    <cellStyle name="20% - Accent3 4 2 2 2 3" xfId="23976" xr:uid="{84ECF2E2-F1E7-4931-826E-9A135C516707}"/>
    <cellStyle name="20% - Accent3 4 2 2 3" xfId="11318" xr:uid="{B130D897-65C6-4D31-A1E7-EA7C7409069B}"/>
    <cellStyle name="20% - Accent3 4 2 2 4" xfId="19759" xr:uid="{100BB2DF-18BD-4BD2-A469-A22595D88FF3}"/>
    <cellStyle name="20% - Accent3 4 2 3" xfId="4941" xr:uid="{00000000-0005-0000-0000-0000BE010000}"/>
    <cellStyle name="20% - Accent3 4 2 3 2" xfId="13391" xr:uid="{72AEFCC4-4074-42CD-B1D5-6249B8CEA6E2}"/>
    <cellStyle name="20% - Accent3 4 2 3 3" xfId="21831" xr:uid="{ED2E9E1B-2B18-4486-8A32-CDEAF0E6276D}"/>
    <cellStyle name="20% - Accent3 4 2 4" xfId="9173" xr:uid="{532E4C8E-A36F-4369-B754-2FC9822D4448}"/>
    <cellStyle name="20% - Accent3 4 2 5" xfId="17614" xr:uid="{3B122AF3-5EF5-4968-9B46-9FE49D7C1545}"/>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9470DCCA-733A-481D-AD6B-AE24165A8A0D}"/>
    <cellStyle name="20% - Accent3 4 3 2 2 3" xfId="24389" xr:uid="{9842B32F-6EBF-45CD-B611-99872334372A}"/>
    <cellStyle name="20% - Accent3 4 3 2 3" xfId="11731" xr:uid="{BDA2393E-01B7-43C3-8EEC-F290EC1F79D2}"/>
    <cellStyle name="20% - Accent3 4 3 2 4" xfId="20172" xr:uid="{5B60E854-4178-4983-AF90-A8C68E63DB8C}"/>
    <cellStyle name="20% - Accent3 4 3 3" xfId="5354" xr:uid="{00000000-0005-0000-0000-0000C2010000}"/>
    <cellStyle name="20% - Accent3 4 3 3 2" xfId="13804" xr:uid="{BF30F5D8-AB94-4262-B819-98A3C369DB50}"/>
    <cellStyle name="20% - Accent3 4 3 3 3" xfId="22244" xr:uid="{F9D1B187-2609-4C0F-8BBE-6074BF3A58CA}"/>
    <cellStyle name="20% - Accent3 4 3 4" xfId="9586" xr:uid="{F510833B-DA2F-4708-97AD-340935C23FF1}"/>
    <cellStyle name="20% - Accent3 4 3 5" xfId="18027" xr:uid="{9F0B8D14-31CA-4F17-B4F6-67FD5525A121}"/>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DFFC95FF-3C66-4E93-9EA4-26FE4E75EB70}"/>
    <cellStyle name="20% - Accent3 4 4 2 2 3" xfId="24802" xr:uid="{2F1CE600-E677-4A88-81E3-A1DF610FB09A}"/>
    <cellStyle name="20% - Accent3 4 4 2 3" xfId="12144" xr:uid="{2A283FE9-6528-406D-A707-8827457652E3}"/>
    <cellStyle name="20% - Accent3 4 4 2 4" xfId="20585" xr:uid="{99DED160-80B0-40E5-B097-FF0032206698}"/>
    <cellStyle name="20% - Accent3 4 4 3" xfId="5767" xr:uid="{00000000-0005-0000-0000-0000C6010000}"/>
    <cellStyle name="20% - Accent3 4 4 3 2" xfId="14217" xr:uid="{19756601-B8A2-4820-A3E2-62B4596E0829}"/>
    <cellStyle name="20% - Accent3 4 4 3 3" xfId="22657" xr:uid="{6CB1CE5A-1DA6-4958-9528-50914C831ABD}"/>
    <cellStyle name="20% - Accent3 4 4 4" xfId="9999" xr:uid="{1AE6553C-EB49-40D6-BC93-DD294C511646}"/>
    <cellStyle name="20% - Accent3 4 4 5" xfId="18440" xr:uid="{D0F59FC4-A21E-42C2-B696-63D484548E25}"/>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70822CC8-9B76-4B3C-A87D-A6C2619724DE}"/>
    <cellStyle name="20% - Accent3 4 5 2 2 3" xfId="25215" xr:uid="{5760D97E-B0EA-48CD-9325-E698FBE1857B}"/>
    <cellStyle name="20% - Accent3 4 5 2 3" xfId="12557" xr:uid="{DA8B655F-7EA3-4127-BBD0-186CA8FE7C77}"/>
    <cellStyle name="20% - Accent3 4 5 2 4" xfId="20998" xr:uid="{892A5E44-25C8-4AFD-966B-78BFA4E032D5}"/>
    <cellStyle name="20% - Accent3 4 5 3" xfId="6180" xr:uid="{00000000-0005-0000-0000-0000CA010000}"/>
    <cellStyle name="20% - Accent3 4 5 3 2" xfId="14630" xr:uid="{21BF768D-8B30-4FC3-A604-7E5E126E7CCF}"/>
    <cellStyle name="20% - Accent3 4 5 3 3" xfId="23070" xr:uid="{0DE54D0C-1F48-413A-8E40-B7F44FE686BD}"/>
    <cellStyle name="20% - Accent3 4 5 4" xfId="10412" xr:uid="{46316279-52C2-4727-9A68-C1792FD914D8}"/>
    <cellStyle name="20% - Accent3 4 5 5" xfId="18853" xr:uid="{70F1186E-01D8-4E4D-92DB-53AEF4C545F8}"/>
    <cellStyle name="20% - Accent3 4 6" xfId="2287" xr:uid="{00000000-0005-0000-0000-0000CB010000}"/>
    <cellStyle name="20% - Accent3 4 6 2" xfId="6593" xr:uid="{00000000-0005-0000-0000-0000CC010000}"/>
    <cellStyle name="20% - Accent3 4 6 2 2" xfId="15043" xr:uid="{408D1712-32DC-42D6-8B62-D598E527C93D}"/>
    <cellStyle name="20% - Accent3 4 6 2 3" xfId="23483" xr:uid="{07269ECD-3121-495D-B1C3-0C9B132A58F4}"/>
    <cellStyle name="20% - Accent3 4 6 3" xfId="10825" xr:uid="{ABC13CD4-9B7A-4D56-A826-DDF1B60CC06F}"/>
    <cellStyle name="20% - Accent3 4 6 4" xfId="19266" xr:uid="{8CA0BA33-37F9-448D-B0BF-7611D670BE52}"/>
    <cellStyle name="20% - Accent3 4 7" xfId="4527" xr:uid="{00000000-0005-0000-0000-0000CD010000}"/>
    <cellStyle name="20% - Accent3 4 7 2" xfId="12977" xr:uid="{E4AB41B4-B480-4C21-AFF6-3F2CACEA0405}"/>
    <cellStyle name="20% - Accent3 4 7 3" xfId="21417" xr:uid="{F23E3012-2D6C-4497-A28B-2BDFFB3EEDEC}"/>
    <cellStyle name="20% - Accent3 4 8" xfId="8759" xr:uid="{67011735-8555-4540-B813-95E319256259}"/>
    <cellStyle name="20% - Accent3 4 9" xfId="17200" xr:uid="{1CF8217B-E2EB-49CF-BEA0-3E24A5D87FA5}"/>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D5BAA665-9471-496C-95D4-CECAC8FFDF7B}"/>
    <cellStyle name="20% - Accent3 5 2 2 3" xfId="23969" xr:uid="{531AA4CA-4BFE-436E-9C63-1CC48F3B200B}"/>
    <cellStyle name="20% - Accent3 5 2 3" xfId="11311" xr:uid="{2F0A399E-1A3C-402A-B62E-52D871AC154B}"/>
    <cellStyle name="20% - Accent3 5 2 4" xfId="19752" xr:uid="{1CD61F4D-AF53-427C-BEF1-16AD667DDBD2}"/>
    <cellStyle name="20% - Accent3 5 3" xfId="4934" xr:uid="{00000000-0005-0000-0000-0000D1010000}"/>
    <cellStyle name="20% - Accent3 5 3 2" xfId="13384" xr:uid="{806959AE-4583-4C59-AD36-2BE1B7764259}"/>
    <cellStyle name="20% - Accent3 5 3 3" xfId="21824" xr:uid="{E11BF8CE-7FA9-4299-8660-CA5663E81D9E}"/>
    <cellStyle name="20% - Accent3 5 4" xfId="9166" xr:uid="{4C3DE4F3-929D-4D1B-9C1E-7AA7C4CA78FA}"/>
    <cellStyle name="20% - Accent3 5 5" xfId="17607" xr:uid="{88D9D380-1CB1-4DCE-8E0C-C8E279B53447}"/>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C6C147AC-4479-43B7-A2CF-F149A44D11DB}"/>
    <cellStyle name="20% - Accent3 6 2 2 3" xfId="24382" xr:uid="{B24CA1BB-2462-414D-99DD-F91BC5E9DFE4}"/>
    <cellStyle name="20% - Accent3 6 2 3" xfId="11724" xr:uid="{3FE159EA-002E-49C4-A4EF-0AEBCE3759C9}"/>
    <cellStyle name="20% - Accent3 6 2 4" xfId="20165" xr:uid="{20D21921-848D-4F3C-B1FD-51A70D6F4C8A}"/>
    <cellStyle name="20% - Accent3 6 3" xfId="5347" xr:uid="{00000000-0005-0000-0000-0000D5010000}"/>
    <cellStyle name="20% - Accent3 6 3 2" xfId="13797" xr:uid="{99E9567F-AEA1-4A6D-96CF-7B82152C0589}"/>
    <cellStyle name="20% - Accent3 6 3 3" xfId="22237" xr:uid="{7820F85D-331C-4DE3-A68E-E025E5D63142}"/>
    <cellStyle name="20% - Accent3 6 4" xfId="9579" xr:uid="{664C01CD-3E5B-4493-B73C-73F0D4C331FB}"/>
    <cellStyle name="20% - Accent3 6 5" xfId="18020" xr:uid="{30577ACB-9D63-42BD-9163-8E4DC40D0D4A}"/>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C2D30052-0325-4C6E-B0E3-88BE8C0B362B}"/>
    <cellStyle name="20% - Accent3 7 2 2 3" xfId="24795" xr:uid="{649F9B0C-09AF-460F-B1CD-DB42CC56D431}"/>
    <cellStyle name="20% - Accent3 7 2 3" xfId="12137" xr:uid="{D3DDFCF4-DAA7-4B71-A3C6-C1D725D0668A}"/>
    <cellStyle name="20% - Accent3 7 2 4" xfId="20578" xr:uid="{A74BC695-4741-4325-9885-2AF73FEE7986}"/>
    <cellStyle name="20% - Accent3 7 3" xfId="5760" xr:uid="{00000000-0005-0000-0000-0000D9010000}"/>
    <cellStyle name="20% - Accent3 7 3 2" xfId="14210" xr:uid="{849E5444-08DE-45BB-B032-33DDB7824BE8}"/>
    <cellStyle name="20% - Accent3 7 3 3" xfId="22650" xr:uid="{6594E97D-643D-4C50-BA14-ED01DE6C425A}"/>
    <cellStyle name="20% - Accent3 7 4" xfId="9992" xr:uid="{7318E7C7-4EAB-421D-B989-D47FCC10DF1C}"/>
    <cellStyle name="20% - Accent3 7 5" xfId="18433" xr:uid="{CC35CF9B-8BF3-4E52-BDB3-8EA2D16521E6}"/>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E6532339-F598-4C74-8F2F-D76BAC65975D}"/>
    <cellStyle name="20% - Accent3 8 2 2 3" xfId="25208" xr:uid="{31E7C224-65AD-4B76-A5CC-7B7529613FC7}"/>
    <cellStyle name="20% - Accent3 8 2 3" xfId="12550" xr:uid="{F6A1E973-F671-47AD-9C5B-866AF825D3A4}"/>
    <cellStyle name="20% - Accent3 8 2 4" xfId="20991" xr:uid="{C600FE5D-0E26-42C9-BA59-C12BADB77545}"/>
    <cellStyle name="20% - Accent3 8 3" xfId="6173" xr:uid="{00000000-0005-0000-0000-0000DD010000}"/>
    <cellStyle name="20% - Accent3 8 3 2" xfId="14623" xr:uid="{1786C1A6-FE87-44E8-AD5D-94351EDE6D25}"/>
    <cellStyle name="20% - Accent3 8 3 3" xfId="23063" xr:uid="{D45CE73D-93FB-4C48-BAE5-57EE5D397CD5}"/>
    <cellStyle name="20% - Accent3 8 4" xfId="10405" xr:uid="{184FEF76-FEEC-415D-B6EA-022A86ED4A5E}"/>
    <cellStyle name="20% - Accent3 8 5" xfId="18846" xr:uid="{70BD64B5-CA95-498E-A4AB-07EB4F1F90AD}"/>
    <cellStyle name="20% - Accent3 9" xfId="2280" xr:uid="{00000000-0005-0000-0000-0000DE010000}"/>
    <cellStyle name="20% - Accent3 9 2" xfId="6586" xr:uid="{00000000-0005-0000-0000-0000DF010000}"/>
    <cellStyle name="20% - Accent3 9 2 2" xfId="15036" xr:uid="{1BCE0263-FB9B-4E58-BD3A-B53CE4878DEF}"/>
    <cellStyle name="20% - Accent3 9 2 3" xfId="23476" xr:uid="{CF78E592-89DA-4D4B-BCD4-CBA93011577F}"/>
    <cellStyle name="20% - Accent3 9 3" xfId="10818" xr:uid="{2F15D748-7DB8-494E-B94C-4528EF43789A}"/>
    <cellStyle name="20% - Accent3 9 4" xfId="19259" xr:uid="{5096B53F-B000-4AD9-B945-1B99D2A4A929}"/>
    <cellStyle name="20% - Accent4" xfId="25" builtinId="42" customBuiltin="1"/>
    <cellStyle name="20% - Accent4 10" xfId="4528" xr:uid="{00000000-0005-0000-0000-0000E1010000}"/>
    <cellStyle name="20% - Accent4 10 2" xfId="12978" xr:uid="{E40233A8-C349-4AF4-8F29-DA80B7E6902C}"/>
    <cellStyle name="20% - Accent4 10 3" xfId="21418" xr:uid="{C99A868A-7E59-46BA-9F11-D15A9A352D26}"/>
    <cellStyle name="20% - Accent4 11" xfId="8760" xr:uid="{4CE63E71-0819-4F10-AFB6-755FEE5724D4}"/>
    <cellStyle name="20% - Accent4 12" xfId="17201" xr:uid="{8B4D9C7B-FD44-4645-8823-6F495084AF7C}"/>
    <cellStyle name="20% - Accent4 2" xfId="26" xr:uid="{00000000-0005-0000-0000-0000E2010000}"/>
    <cellStyle name="20% - Accent4 2 10" xfId="8761" xr:uid="{CDDFAEBD-8745-4A9C-865B-6D2E4B4B5C0F}"/>
    <cellStyle name="20% - Accent4 2 11" xfId="17202" xr:uid="{A837B173-27D8-4276-9808-1FCE83A1CA37}"/>
    <cellStyle name="20% - Accent4 2 2" xfId="27" xr:uid="{00000000-0005-0000-0000-0000E3010000}"/>
    <cellStyle name="20% - Accent4 2 2 10" xfId="17203" xr:uid="{E68CE24F-5324-4207-B2B4-F55AFBBCAF1D}"/>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FF98F49E-0560-4882-A9AA-9E3ADCA1C2E8}"/>
    <cellStyle name="20% - Accent4 2 2 2 2 2 2 3" xfId="23980" xr:uid="{6525A05F-4717-47B5-B374-989D06783F39}"/>
    <cellStyle name="20% - Accent4 2 2 2 2 2 3" xfId="11322" xr:uid="{7BC5583B-75BF-498C-8A37-68758044DB2D}"/>
    <cellStyle name="20% - Accent4 2 2 2 2 2 4" xfId="19763" xr:uid="{970F6B07-E2E4-40BB-80EF-9C283C888FCC}"/>
    <cellStyle name="20% - Accent4 2 2 2 2 3" xfId="4945" xr:uid="{00000000-0005-0000-0000-0000E8010000}"/>
    <cellStyle name="20% - Accent4 2 2 2 2 3 2" xfId="13395" xr:uid="{61775826-3B1C-4287-9BF1-237332EA684B}"/>
    <cellStyle name="20% - Accent4 2 2 2 2 3 3" xfId="21835" xr:uid="{B21D81E9-FAFB-4D1D-BF4A-FD0DC23B032C}"/>
    <cellStyle name="20% - Accent4 2 2 2 2 4" xfId="9177" xr:uid="{F82845D7-8D98-4D0F-B3B2-C9225B519A96}"/>
    <cellStyle name="20% - Accent4 2 2 2 2 5" xfId="17618" xr:uid="{BA830063-761F-4E0B-99B3-508EFF80C96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3590CE78-FB2A-44CF-9964-FD2C52C24062}"/>
    <cellStyle name="20% - Accent4 2 2 2 3 2 2 3" xfId="24393" xr:uid="{E18F10F9-41F9-4006-BFE1-F2FDA51E19B4}"/>
    <cellStyle name="20% - Accent4 2 2 2 3 2 3" xfId="11735" xr:uid="{774AFD86-DCC9-4F96-BCCA-C0FB40921D79}"/>
    <cellStyle name="20% - Accent4 2 2 2 3 2 4" xfId="20176" xr:uid="{2C7CEF40-6E94-4B76-B23A-9FFC641532D7}"/>
    <cellStyle name="20% - Accent4 2 2 2 3 3" xfId="5358" xr:uid="{00000000-0005-0000-0000-0000EC010000}"/>
    <cellStyle name="20% - Accent4 2 2 2 3 3 2" xfId="13808" xr:uid="{3DDE5E68-BBEC-4492-A247-89A86C606DC6}"/>
    <cellStyle name="20% - Accent4 2 2 2 3 3 3" xfId="22248" xr:uid="{EA455604-D702-4ACA-8FC3-08899FE6C1D6}"/>
    <cellStyle name="20% - Accent4 2 2 2 3 4" xfId="9590" xr:uid="{1B192111-95F9-4133-A81F-4B7EE3E344CA}"/>
    <cellStyle name="20% - Accent4 2 2 2 3 5" xfId="18031" xr:uid="{2C2CC14D-B579-434E-BB00-D27A6BE7C162}"/>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B5EACB69-42B8-47E5-A6EB-8EF3B19662F1}"/>
    <cellStyle name="20% - Accent4 2 2 2 4 2 2 3" xfId="24806" xr:uid="{F6FA888C-4802-45EC-BF66-C48ED465C9B8}"/>
    <cellStyle name="20% - Accent4 2 2 2 4 2 3" xfId="12148" xr:uid="{B0FEAC2C-EC49-45F0-9A61-E2A4588E3BB7}"/>
    <cellStyle name="20% - Accent4 2 2 2 4 2 4" xfId="20589" xr:uid="{A61C3B67-ABB3-4694-BB14-2259892D8D9B}"/>
    <cellStyle name="20% - Accent4 2 2 2 4 3" xfId="5771" xr:uid="{00000000-0005-0000-0000-0000F0010000}"/>
    <cellStyle name="20% - Accent4 2 2 2 4 3 2" xfId="14221" xr:uid="{D591C7A7-EC54-4BA5-A979-7B0B494D816A}"/>
    <cellStyle name="20% - Accent4 2 2 2 4 3 3" xfId="22661" xr:uid="{4158BB56-0606-4F03-8294-D8BAE1A3791F}"/>
    <cellStyle name="20% - Accent4 2 2 2 4 4" xfId="10003" xr:uid="{DEFF664C-ED46-468F-9B19-3681786DF154}"/>
    <cellStyle name="20% - Accent4 2 2 2 4 5" xfId="18444" xr:uid="{8B70993C-3E03-418D-A7C0-CACFA01BE30F}"/>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7C18B79-D359-483B-BBDF-8E4F499F07EA}"/>
    <cellStyle name="20% - Accent4 2 2 2 5 2 2 3" xfId="25219" xr:uid="{0FB42ABA-0A70-4963-9860-48E3FBC487E4}"/>
    <cellStyle name="20% - Accent4 2 2 2 5 2 3" xfId="12561" xr:uid="{68596474-5C3A-4B0B-B9F4-D1EA1D8FAF6A}"/>
    <cellStyle name="20% - Accent4 2 2 2 5 2 4" xfId="21002" xr:uid="{011E8A21-41C3-4D80-BFDD-AB4E6D65E436}"/>
    <cellStyle name="20% - Accent4 2 2 2 5 3" xfId="6184" xr:uid="{00000000-0005-0000-0000-0000F4010000}"/>
    <cellStyle name="20% - Accent4 2 2 2 5 3 2" xfId="14634" xr:uid="{6C7E294E-73F7-4911-8C33-80F4D3759603}"/>
    <cellStyle name="20% - Accent4 2 2 2 5 3 3" xfId="23074" xr:uid="{3E9A329A-7F20-4F20-9EE1-58034E8A336C}"/>
    <cellStyle name="20% - Accent4 2 2 2 5 4" xfId="10416" xr:uid="{7CA2B8FC-140D-4D63-93D9-7F49F71A78AB}"/>
    <cellStyle name="20% - Accent4 2 2 2 5 5" xfId="18857" xr:uid="{BA22F1C0-0639-4100-8595-40854710342D}"/>
    <cellStyle name="20% - Accent4 2 2 2 6" xfId="2291" xr:uid="{00000000-0005-0000-0000-0000F5010000}"/>
    <cellStyle name="20% - Accent4 2 2 2 6 2" xfId="6597" xr:uid="{00000000-0005-0000-0000-0000F6010000}"/>
    <cellStyle name="20% - Accent4 2 2 2 6 2 2" xfId="15047" xr:uid="{7B45D921-590A-40C3-8486-088736286952}"/>
    <cellStyle name="20% - Accent4 2 2 2 6 2 3" xfId="23487" xr:uid="{F7B41C60-CF18-4F6E-B6C9-C25DE8A30B44}"/>
    <cellStyle name="20% - Accent4 2 2 2 6 3" xfId="10829" xr:uid="{6FF4B5BC-C3FF-4314-9166-43A8D781F5D4}"/>
    <cellStyle name="20% - Accent4 2 2 2 6 4" xfId="19270" xr:uid="{0686EEC0-0F21-4856-A7D8-CDC7FF333ED2}"/>
    <cellStyle name="20% - Accent4 2 2 2 7" xfId="4531" xr:uid="{00000000-0005-0000-0000-0000F7010000}"/>
    <cellStyle name="20% - Accent4 2 2 2 7 2" xfId="12981" xr:uid="{7363B7B0-E855-48B1-B94C-7A752881B670}"/>
    <cellStyle name="20% - Accent4 2 2 2 7 3" xfId="21421" xr:uid="{A11FB195-C026-4663-A2DA-1B9D3F2F2236}"/>
    <cellStyle name="20% - Accent4 2 2 2 8" xfId="8763" xr:uid="{FC3F9FF0-67E0-41CD-A672-7585FE1DA278}"/>
    <cellStyle name="20% - Accent4 2 2 2 9" xfId="17204" xr:uid="{F515B8C7-4686-456A-A5FE-2DB17694D54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40F8000A-68A1-4320-BC37-1813F0DFF787}"/>
    <cellStyle name="20% - Accent4 2 2 3 2 2 3" xfId="23979" xr:uid="{B9628CFC-D6BC-4BB8-930C-99B08C7F0319}"/>
    <cellStyle name="20% - Accent4 2 2 3 2 3" xfId="11321" xr:uid="{E3EF13C0-4882-4BEC-A2BE-CB0F0292B1DA}"/>
    <cellStyle name="20% - Accent4 2 2 3 2 4" xfId="19762" xr:uid="{77411E3E-4ED6-449B-B30C-D8587CD0EEDA}"/>
    <cellStyle name="20% - Accent4 2 2 3 3" xfId="4944" xr:uid="{00000000-0005-0000-0000-0000FB010000}"/>
    <cellStyle name="20% - Accent4 2 2 3 3 2" xfId="13394" xr:uid="{7C429AF3-2571-44A5-B069-20427C8742FA}"/>
    <cellStyle name="20% - Accent4 2 2 3 3 3" xfId="21834" xr:uid="{7B5F307D-F2C8-4C58-8D21-DC97DA84A508}"/>
    <cellStyle name="20% - Accent4 2 2 3 4" xfId="9176" xr:uid="{57A40185-872E-445D-A69B-60143A6BC4FC}"/>
    <cellStyle name="20% - Accent4 2 2 3 5" xfId="17617" xr:uid="{FD14D0D8-5562-4F92-91BE-F5F6B208842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20E95A78-1020-4823-BC8B-83913AC3AFC4}"/>
    <cellStyle name="20% - Accent4 2 2 4 2 2 3" xfId="24392" xr:uid="{8BDD6E85-E60B-43BC-82AA-2079149B35A9}"/>
    <cellStyle name="20% - Accent4 2 2 4 2 3" xfId="11734" xr:uid="{916E55DF-3ED8-4CD9-AE22-5D74142BCD7E}"/>
    <cellStyle name="20% - Accent4 2 2 4 2 4" xfId="20175" xr:uid="{F9FBBA33-8D0A-471D-919C-A7AF1F4D9AA0}"/>
    <cellStyle name="20% - Accent4 2 2 4 3" xfId="5357" xr:uid="{00000000-0005-0000-0000-0000FF010000}"/>
    <cellStyle name="20% - Accent4 2 2 4 3 2" xfId="13807" xr:uid="{05012D47-A108-4E62-BF57-12054158F3F1}"/>
    <cellStyle name="20% - Accent4 2 2 4 3 3" xfId="22247" xr:uid="{602486CE-2F62-4A2A-82EE-4A37827C3A21}"/>
    <cellStyle name="20% - Accent4 2 2 4 4" xfId="9589" xr:uid="{9F576A08-A1AD-4CB0-ACDB-245CBA4B6AE1}"/>
    <cellStyle name="20% - Accent4 2 2 4 5" xfId="18030" xr:uid="{48D3CA79-FD64-46A0-BDA8-6C371388616F}"/>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0A8C24DF-E88E-4C99-BE40-78CBFE6C1FF2}"/>
    <cellStyle name="20% - Accent4 2 2 5 2 2 3" xfId="24805" xr:uid="{E84F970B-72FC-4062-89C6-A2D9B56B41B7}"/>
    <cellStyle name="20% - Accent4 2 2 5 2 3" xfId="12147" xr:uid="{900EF243-6C8F-46F8-B11C-E8420A4C6A12}"/>
    <cellStyle name="20% - Accent4 2 2 5 2 4" xfId="20588" xr:uid="{5C95426F-4660-403E-A2AD-ACF4DA66FBCB}"/>
    <cellStyle name="20% - Accent4 2 2 5 3" xfId="5770" xr:uid="{00000000-0005-0000-0000-000003020000}"/>
    <cellStyle name="20% - Accent4 2 2 5 3 2" xfId="14220" xr:uid="{3B220104-6046-46E4-A749-96F6FDC21BA3}"/>
    <cellStyle name="20% - Accent4 2 2 5 3 3" xfId="22660" xr:uid="{96FA99C2-C5CB-4B38-AF12-317FCC59CBA8}"/>
    <cellStyle name="20% - Accent4 2 2 5 4" xfId="10002" xr:uid="{356CC21A-3EE3-4400-B101-BA10C2D47847}"/>
    <cellStyle name="20% - Accent4 2 2 5 5" xfId="18443" xr:uid="{2EA03173-64C3-4A67-8287-0FC0AFE9B3B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1E4EC0BD-17E9-455A-B51F-B91A07403786}"/>
    <cellStyle name="20% - Accent4 2 2 6 2 2 3" xfId="25218" xr:uid="{0777C4E0-998E-4AE1-B971-960968A346A4}"/>
    <cellStyle name="20% - Accent4 2 2 6 2 3" xfId="12560" xr:uid="{94185E35-18F5-4D34-AA94-3D14111BBBD1}"/>
    <cellStyle name="20% - Accent4 2 2 6 2 4" xfId="21001" xr:uid="{E5C154E0-5231-4892-B611-F7226AB7C142}"/>
    <cellStyle name="20% - Accent4 2 2 6 3" xfId="6183" xr:uid="{00000000-0005-0000-0000-000007020000}"/>
    <cellStyle name="20% - Accent4 2 2 6 3 2" xfId="14633" xr:uid="{5F33DF5D-1242-4CF3-995A-95022D5CD212}"/>
    <cellStyle name="20% - Accent4 2 2 6 3 3" xfId="23073" xr:uid="{8E07A48D-1026-40B6-8737-17A99A59EC29}"/>
    <cellStyle name="20% - Accent4 2 2 6 4" xfId="10415" xr:uid="{40D8DE9D-B9E0-4814-B4BA-C2772CC5E843}"/>
    <cellStyle name="20% - Accent4 2 2 6 5" xfId="18856" xr:uid="{5F15EFA1-9368-4AB5-BAFF-5BF5EAE8D132}"/>
    <cellStyle name="20% - Accent4 2 2 7" xfId="2290" xr:uid="{00000000-0005-0000-0000-000008020000}"/>
    <cellStyle name="20% - Accent4 2 2 7 2" xfId="6596" xr:uid="{00000000-0005-0000-0000-000009020000}"/>
    <cellStyle name="20% - Accent4 2 2 7 2 2" xfId="15046" xr:uid="{100E3771-6AED-44AE-B679-0474042B170C}"/>
    <cellStyle name="20% - Accent4 2 2 7 2 3" xfId="23486" xr:uid="{C988DA1B-34FC-4E2B-8647-1B845CF60E1F}"/>
    <cellStyle name="20% - Accent4 2 2 7 3" xfId="10828" xr:uid="{01121DBB-D6A2-404B-9A2E-B473F6C69781}"/>
    <cellStyle name="20% - Accent4 2 2 7 4" xfId="19269" xr:uid="{36FF11F0-8DA3-4CE1-9400-1A7F5BF955F5}"/>
    <cellStyle name="20% - Accent4 2 2 8" xfId="4530" xr:uid="{00000000-0005-0000-0000-00000A020000}"/>
    <cellStyle name="20% - Accent4 2 2 8 2" xfId="12980" xr:uid="{D2F4758E-6234-47C7-8420-0E5FDF30CA85}"/>
    <cellStyle name="20% - Accent4 2 2 8 3" xfId="21420" xr:uid="{69436A51-8E2F-420F-92DA-CC4EBE837443}"/>
    <cellStyle name="20% - Accent4 2 2 9" xfId="8762" xr:uid="{D08EE834-CC8A-4DDB-8F7A-F10EFF57B30E}"/>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1A753104-F23D-4FC3-8029-3723CEC954B8}"/>
    <cellStyle name="20% - Accent4 2 3 2 2 2 3" xfId="23981" xr:uid="{F9466ABD-1E0A-4B8B-AA14-5AA1ACC38C1A}"/>
    <cellStyle name="20% - Accent4 2 3 2 2 3" xfId="11323" xr:uid="{6A017605-8255-46E5-B6E0-8D98F86E6B7F}"/>
    <cellStyle name="20% - Accent4 2 3 2 2 4" xfId="19764" xr:uid="{0B5D0E41-384B-48BB-89B9-C65EDF3EC5C1}"/>
    <cellStyle name="20% - Accent4 2 3 2 3" xfId="4946" xr:uid="{00000000-0005-0000-0000-00000F020000}"/>
    <cellStyle name="20% - Accent4 2 3 2 3 2" xfId="13396" xr:uid="{6F3E291D-80D9-4C8E-AC11-1877A52165F5}"/>
    <cellStyle name="20% - Accent4 2 3 2 3 3" xfId="21836" xr:uid="{3450F557-BE8E-4241-9158-4D99AA9B974D}"/>
    <cellStyle name="20% - Accent4 2 3 2 4" xfId="9178" xr:uid="{A4871298-D069-4642-AC38-0F9D751EB7B9}"/>
    <cellStyle name="20% - Accent4 2 3 2 5" xfId="17619" xr:uid="{048619F6-0489-4411-A1F6-9AA1518D8C2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102CE358-835A-48AF-999B-A2CB52248496}"/>
    <cellStyle name="20% - Accent4 2 3 3 2 2 3" xfId="24394" xr:uid="{3E771BC2-BC71-4A38-B131-8D2ADC72AB63}"/>
    <cellStyle name="20% - Accent4 2 3 3 2 3" xfId="11736" xr:uid="{B8254AB7-A8D8-4BAB-BB98-1B79C7957412}"/>
    <cellStyle name="20% - Accent4 2 3 3 2 4" xfId="20177" xr:uid="{D5164B96-ADBB-44C1-B06C-538612176601}"/>
    <cellStyle name="20% - Accent4 2 3 3 3" xfId="5359" xr:uid="{00000000-0005-0000-0000-000013020000}"/>
    <cellStyle name="20% - Accent4 2 3 3 3 2" xfId="13809" xr:uid="{FF6B214F-3DC4-4D48-AC25-CE2E034910C5}"/>
    <cellStyle name="20% - Accent4 2 3 3 3 3" xfId="22249" xr:uid="{89F6F2EF-2367-4B13-B9F1-760E7ECE5EF6}"/>
    <cellStyle name="20% - Accent4 2 3 3 4" xfId="9591" xr:uid="{430300E1-4105-4865-9C08-407035185AF7}"/>
    <cellStyle name="20% - Accent4 2 3 3 5" xfId="18032" xr:uid="{10236916-9FC0-4C2E-B918-5C91DBEBD14B}"/>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FF3E94AB-0C12-42D4-AFB1-BA11902D9138}"/>
    <cellStyle name="20% - Accent4 2 3 4 2 2 3" xfId="24807" xr:uid="{522937ED-5BBE-4E68-A54A-E129A9EF427F}"/>
    <cellStyle name="20% - Accent4 2 3 4 2 3" xfId="12149" xr:uid="{E6B05BF1-D5C9-4A54-8704-69161EA83E0C}"/>
    <cellStyle name="20% - Accent4 2 3 4 2 4" xfId="20590" xr:uid="{ACD18ECA-3F27-4CDC-AAE1-85271859FA63}"/>
    <cellStyle name="20% - Accent4 2 3 4 3" xfId="5772" xr:uid="{00000000-0005-0000-0000-000017020000}"/>
    <cellStyle name="20% - Accent4 2 3 4 3 2" xfId="14222" xr:uid="{D8855820-A104-44D4-886B-3681A9DD4304}"/>
    <cellStyle name="20% - Accent4 2 3 4 3 3" xfId="22662" xr:uid="{C26F43A1-C661-44A1-BDA0-1743847B849B}"/>
    <cellStyle name="20% - Accent4 2 3 4 4" xfId="10004" xr:uid="{42693B8C-B929-497D-8D49-717E8B1EE702}"/>
    <cellStyle name="20% - Accent4 2 3 4 5" xfId="18445" xr:uid="{82B1DBCB-480B-4912-B3D9-BC2178A8760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067C13F1-1714-4D79-BEA8-672055964EDC}"/>
    <cellStyle name="20% - Accent4 2 3 5 2 2 3" xfId="25220" xr:uid="{405A8A6D-632A-4CEA-979A-CC5594B321FB}"/>
    <cellStyle name="20% - Accent4 2 3 5 2 3" xfId="12562" xr:uid="{450513D1-0CB3-4C0A-A23B-72A417371501}"/>
    <cellStyle name="20% - Accent4 2 3 5 2 4" xfId="21003" xr:uid="{FC42E0BD-7AAF-448C-9222-7DE69B5A0DEF}"/>
    <cellStyle name="20% - Accent4 2 3 5 3" xfId="6185" xr:uid="{00000000-0005-0000-0000-00001B020000}"/>
    <cellStyle name="20% - Accent4 2 3 5 3 2" xfId="14635" xr:uid="{F78857DC-AFAA-454F-A05F-DA6B1AB22AEC}"/>
    <cellStyle name="20% - Accent4 2 3 5 3 3" xfId="23075" xr:uid="{D7F6E9BF-1DD9-4184-84B1-9C333DD7825A}"/>
    <cellStyle name="20% - Accent4 2 3 5 4" xfId="10417" xr:uid="{7A6B502A-32F2-4DE3-B8B4-2FDB46425CE9}"/>
    <cellStyle name="20% - Accent4 2 3 5 5" xfId="18858" xr:uid="{0DB4A86B-B6E3-4ADC-A634-033E32E6A656}"/>
    <cellStyle name="20% - Accent4 2 3 6" xfId="2292" xr:uid="{00000000-0005-0000-0000-00001C020000}"/>
    <cellStyle name="20% - Accent4 2 3 6 2" xfId="6598" xr:uid="{00000000-0005-0000-0000-00001D020000}"/>
    <cellStyle name="20% - Accent4 2 3 6 2 2" xfId="15048" xr:uid="{82E3586F-D014-4DA3-A470-9E9BB70F24D5}"/>
    <cellStyle name="20% - Accent4 2 3 6 2 3" xfId="23488" xr:uid="{A93AB7D4-9377-4F67-9C45-6537FFF9D746}"/>
    <cellStyle name="20% - Accent4 2 3 6 3" xfId="10830" xr:uid="{E1777D99-697A-4E34-A683-437BC6CC43AE}"/>
    <cellStyle name="20% - Accent4 2 3 6 4" xfId="19271" xr:uid="{5D371B6C-417F-4FB4-B5CC-CE35FF33E002}"/>
    <cellStyle name="20% - Accent4 2 3 7" xfId="4532" xr:uid="{00000000-0005-0000-0000-00001E020000}"/>
    <cellStyle name="20% - Accent4 2 3 7 2" xfId="12982" xr:uid="{B026EDD9-917E-406F-AEE8-75A7B6D44B86}"/>
    <cellStyle name="20% - Accent4 2 3 7 3" xfId="21422" xr:uid="{8A9B900F-17E4-48A3-9BF6-FFD504BF82FA}"/>
    <cellStyle name="20% - Accent4 2 3 8" xfId="8764" xr:uid="{93AD6444-0A95-4666-98D6-810C5A181079}"/>
    <cellStyle name="20% - Accent4 2 3 9" xfId="17205" xr:uid="{4E9E8207-FA7B-4FBB-8B11-2ADC58D4535A}"/>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34F6392A-5C41-4330-A336-E2F3976D22F9}"/>
    <cellStyle name="20% - Accent4 2 4 2 2 3" xfId="23978" xr:uid="{79508DD9-23DA-4F8E-BBED-5C02C057E6EC}"/>
    <cellStyle name="20% - Accent4 2 4 2 3" xfId="11320" xr:uid="{FF94DF7A-9979-4658-A32F-9039B9A605CB}"/>
    <cellStyle name="20% - Accent4 2 4 2 4" xfId="19761" xr:uid="{7A2D2F91-1BDC-4F68-A820-5D6183DB8800}"/>
    <cellStyle name="20% - Accent4 2 4 3" xfId="4943" xr:uid="{00000000-0005-0000-0000-000022020000}"/>
    <cellStyle name="20% - Accent4 2 4 3 2" xfId="13393" xr:uid="{8E576C04-70E9-46C5-A451-DC9D2B17F19D}"/>
    <cellStyle name="20% - Accent4 2 4 3 3" xfId="21833" xr:uid="{3309D8BC-D74E-46E1-A529-1E1D4A254572}"/>
    <cellStyle name="20% - Accent4 2 4 4" xfId="9175" xr:uid="{3681FEE8-92D7-4DB0-9CF3-A7FFE32B68B2}"/>
    <cellStyle name="20% - Accent4 2 4 5" xfId="17616" xr:uid="{EEF4873A-2319-4CF9-A208-2E1A34B62583}"/>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7423826B-652D-4C99-BD11-DC8AF105F0B0}"/>
    <cellStyle name="20% - Accent4 2 5 2 2 3" xfId="24391" xr:uid="{262BADC6-FCFC-4952-8265-4BC2413EAA4A}"/>
    <cellStyle name="20% - Accent4 2 5 2 3" xfId="11733" xr:uid="{0C5279D4-612A-4CF9-BF5C-CC900458573A}"/>
    <cellStyle name="20% - Accent4 2 5 2 4" xfId="20174" xr:uid="{AE26E4E2-3827-43B6-BE93-D590B7EE7232}"/>
    <cellStyle name="20% - Accent4 2 5 3" xfId="5356" xr:uid="{00000000-0005-0000-0000-000026020000}"/>
    <cellStyle name="20% - Accent4 2 5 3 2" xfId="13806" xr:uid="{3DE4B0A5-4D8B-43B3-BE55-A76794214709}"/>
    <cellStyle name="20% - Accent4 2 5 3 3" xfId="22246" xr:uid="{9D8526C0-C8E6-4417-9DA4-446D29481586}"/>
    <cellStyle name="20% - Accent4 2 5 4" xfId="9588" xr:uid="{0515689B-C135-447E-BE01-13CFECA43969}"/>
    <cellStyle name="20% - Accent4 2 5 5" xfId="18029" xr:uid="{4CB4294E-E1BB-45B4-A6CD-061BE59B53C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8A208292-D1FF-4FD9-B9FC-6426747F2B40}"/>
    <cellStyle name="20% - Accent4 2 6 2 2 3" xfId="24804" xr:uid="{B97C2511-D853-44D7-A681-AF0B1625AAEB}"/>
    <cellStyle name="20% - Accent4 2 6 2 3" xfId="12146" xr:uid="{7A393CDE-D257-426B-AD9C-606362380E1E}"/>
    <cellStyle name="20% - Accent4 2 6 2 4" xfId="20587" xr:uid="{9FC23976-1453-4DE9-A10E-82BECD091B90}"/>
    <cellStyle name="20% - Accent4 2 6 3" xfId="5769" xr:uid="{00000000-0005-0000-0000-00002A020000}"/>
    <cellStyle name="20% - Accent4 2 6 3 2" xfId="14219" xr:uid="{76D37A90-2679-4B5F-965D-FA75D2922450}"/>
    <cellStyle name="20% - Accent4 2 6 3 3" xfId="22659" xr:uid="{07C93103-1F7C-4E9C-999E-C85156FB89AC}"/>
    <cellStyle name="20% - Accent4 2 6 4" xfId="10001" xr:uid="{33E33789-97D4-4967-BC38-04F99C0A7B65}"/>
    <cellStyle name="20% - Accent4 2 6 5" xfId="18442" xr:uid="{5822DADC-A823-4D91-B170-9868D42188C1}"/>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3520906D-7211-41E7-8A56-840768A4146B}"/>
    <cellStyle name="20% - Accent4 2 7 2 2 3" xfId="25217" xr:uid="{92B4B96F-2CA3-4B07-8318-30557D05DFE7}"/>
    <cellStyle name="20% - Accent4 2 7 2 3" xfId="12559" xr:uid="{2A057F27-1DAA-4B6F-BA40-95459A2100BB}"/>
    <cellStyle name="20% - Accent4 2 7 2 4" xfId="21000" xr:uid="{3F68A435-798B-44EF-8F3E-4AB5B37D9BF9}"/>
    <cellStyle name="20% - Accent4 2 7 3" xfId="6182" xr:uid="{00000000-0005-0000-0000-00002E020000}"/>
    <cellStyle name="20% - Accent4 2 7 3 2" xfId="14632" xr:uid="{962E9E2F-DEA6-4483-8196-FF9CC3113477}"/>
    <cellStyle name="20% - Accent4 2 7 3 3" xfId="23072" xr:uid="{5EBEDAEF-F5B9-4CF6-8087-41771D6216AE}"/>
    <cellStyle name="20% - Accent4 2 7 4" xfId="10414" xr:uid="{156005A3-0973-425C-989F-895A36CAFE51}"/>
    <cellStyle name="20% - Accent4 2 7 5" xfId="18855" xr:uid="{BA138D8A-0EF7-4848-B315-FCFA9E4B06F5}"/>
    <cellStyle name="20% - Accent4 2 8" xfId="2289" xr:uid="{00000000-0005-0000-0000-00002F020000}"/>
    <cellStyle name="20% - Accent4 2 8 2" xfId="6595" xr:uid="{00000000-0005-0000-0000-000030020000}"/>
    <cellStyle name="20% - Accent4 2 8 2 2" xfId="15045" xr:uid="{94FE4F1C-CBA6-419B-A5E7-DB1FA65C4961}"/>
    <cellStyle name="20% - Accent4 2 8 2 3" xfId="23485" xr:uid="{8A6C731B-E011-46EF-BCB9-EDFEE483D5B0}"/>
    <cellStyle name="20% - Accent4 2 8 3" xfId="10827" xr:uid="{1E68B53B-315F-447A-8EC0-E353671041AD}"/>
    <cellStyle name="20% - Accent4 2 8 4" xfId="19268" xr:uid="{536CBBB4-17CA-4336-B50D-01B6D976BF72}"/>
    <cellStyle name="20% - Accent4 2 9" xfId="4529" xr:uid="{00000000-0005-0000-0000-000031020000}"/>
    <cellStyle name="20% - Accent4 2 9 2" xfId="12979" xr:uid="{0F3B91B0-E8D7-456E-B31F-79E9FABC12FA}"/>
    <cellStyle name="20% - Accent4 2 9 3" xfId="21419" xr:uid="{071EC4DB-E131-4D13-9410-22E4F0F51871}"/>
    <cellStyle name="20% - Accent4 3" xfId="30" xr:uid="{00000000-0005-0000-0000-000032020000}"/>
    <cellStyle name="20% - Accent4 3 10" xfId="17206" xr:uid="{BD118588-C84B-4C23-9577-6B46337CADDE}"/>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4196F41-77DC-449A-9FF3-D4459559AD91}"/>
    <cellStyle name="20% - Accent4 3 2 2 2 2 3" xfId="23983" xr:uid="{6E1DFD00-2267-47DD-93B5-3E2E7FD2B885}"/>
    <cellStyle name="20% - Accent4 3 2 2 2 3" xfId="11325" xr:uid="{95D3643C-D1A8-4285-ACE2-449AB22F2CF2}"/>
    <cellStyle name="20% - Accent4 3 2 2 2 4" xfId="19766" xr:uid="{625FD05F-84C7-4090-9CDA-BF42943DA0C2}"/>
    <cellStyle name="20% - Accent4 3 2 2 3" xfId="4948" xr:uid="{00000000-0005-0000-0000-000037020000}"/>
    <cellStyle name="20% - Accent4 3 2 2 3 2" xfId="13398" xr:uid="{731E9449-AD18-4AD7-9D91-4B10179D2528}"/>
    <cellStyle name="20% - Accent4 3 2 2 3 3" xfId="21838" xr:uid="{CF1E0200-3490-46B3-AD27-53EB2881F967}"/>
    <cellStyle name="20% - Accent4 3 2 2 4" xfId="9180" xr:uid="{B0BAB4AF-F1CE-4C53-B1C4-E7A380885BED}"/>
    <cellStyle name="20% - Accent4 3 2 2 5" xfId="17621" xr:uid="{C4042136-EB90-474F-861D-E0C0BC20CCD9}"/>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72864236-6741-4737-B267-293302EABEBE}"/>
    <cellStyle name="20% - Accent4 3 2 3 2 2 3" xfId="24396" xr:uid="{1858C47E-9182-4CB6-A034-85F25172F775}"/>
    <cellStyle name="20% - Accent4 3 2 3 2 3" xfId="11738" xr:uid="{37173CCB-7463-447E-904F-906F9E197B9F}"/>
    <cellStyle name="20% - Accent4 3 2 3 2 4" xfId="20179" xr:uid="{D90CE153-405C-47A2-BD6B-B50E332A779B}"/>
    <cellStyle name="20% - Accent4 3 2 3 3" xfId="5361" xr:uid="{00000000-0005-0000-0000-00003B020000}"/>
    <cellStyle name="20% - Accent4 3 2 3 3 2" xfId="13811" xr:uid="{0BB9D3D0-6AD1-47E2-B787-E1309E103E99}"/>
    <cellStyle name="20% - Accent4 3 2 3 3 3" xfId="22251" xr:uid="{B5D1C658-3982-4C12-B3E9-F3DA1A949533}"/>
    <cellStyle name="20% - Accent4 3 2 3 4" xfId="9593" xr:uid="{17AB08D1-1111-4C64-B979-4E3B548261E7}"/>
    <cellStyle name="20% - Accent4 3 2 3 5" xfId="18034" xr:uid="{A45096A3-0770-4813-8B0E-827F33BCD12B}"/>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04A56838-5364-41E6-8E19-CA7512E01B32}"/>
    <cellStyle name="20% - Accent4 3 2 4 2 2 3" xfId="24809" xr:uid="{75A1361F-7D4B-4043-A66D-2BA717EDA4E7}"/>
    <cellStyle name="20% - Accent4 3 2 4 2 3" xfId="12151" xr:uid="{32B089BE-0DE2-4FC7-BEB9-47AC749B3A61}"/>
    <cellStyle name="20% - Accent4 3 2 4 2 4" xfId="20592" xr:uid="{3203D8B8-F476-40BF-B40F-A77E53BFA136}"/>
    <cellStyle name="20% - Accent4 3 2 4 3" xfId="5774" xr:uid="{00000000-0005-0000-0000-00003F020000}"/>
    <cellStyle name="20% - Accent4 3 2 4 3 2" xfId="14224" xr:uid="{9D5A4F8A-F11A-4C19-AE80-B7400D7CB7D2}"/>
    <cellStyle name="20% - Accent4 3 2 4 3 3" xfId="22664" xr:uid="{4F4F4CDA-3F25-4D8D-9195-81128B18EF66}"/>
    <cellStyle name="20% - Accent4 3 2 4 4" xfId="10006" xr:uid="{1D90A9A1-FE5D-4A00-8AE3-E7F12DD6456A}"/>
    <cellStyle name="20% - Accent4 3 2 4 5" xfId="18447" xr:uid="{C642DDC1-8B06-4B99-972F-DBE5504EF8A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27BF1B66-6348-4043-AC7B-1E591A41F87D}"/>
    <cellStyle name="20% - Accent4 3 2 5 2 2 3" xfId="25222" xr:uid="{9267121A-0B5F-4FF1-9EB7-7A4D4E3850B1}"/>
    <cellStyle name="20% - Accent4 3 2 5 2 3" xfId="12564" xr:uid="{3D2B9DF7-7E07-4998-8F51-4BCFC2FAD7CA}"/>
    <cellStyle name="20% - Accent4 3 2 5 2 4" xfId="21005" xr:uid="{947C74B4-289D-46D6-9D22-4C889BA6BA43}"/>
    <cellStyle name="20% - Accent4 3 2 5 3" xfId="6187" xr:uid="{00000000-0005-0000-0000-000043020000}"/>
    <cellStyle name="20% - Accent4 3 2 5 3 2" xfId="14637" xr:uid="{BE44B030-1FE1-43DE-9754-4E419A342ED1}"/>
    <cellStyle name="20% - Accent4 3 2 5 3 3" xfId="23077" xr:uid="{40C9183B-719D-4D4D-907A-B81BC52DB058}"/>
    <cellStyle name="20% - Accent4 3 2 5 4" xfId="10419" xr:uid="{97684EB8-55BC-477B-99B3-13E6B8A8DFD2}"/>
    <cellStyle name="20% - Accent4 3 2 5 5" xfId="18860" xr:uid="{1AED27A5-3403-4FE0-8714-8196A65B46D6}"/>
    <cellStyle name="20% - Accent4 3 2 6" xfId="2294" xr:uid="{00000000-0005-0000-0000-000044020000}"/>
    <cellStyle name="20% - Accent4 3 2 6 2" xfId="6600" xr:uid="{00000000-0005-0000-0000-000045020000}"/>
    <cellStyle name="20% - Accent4 3 2 6 2 2" xfId="15050" xr:uid="{3DA70FB6-93EF-4E64-A0A1-C6694DF033BC}"/>
    <cellStyle name="20% - Accent4 3 2 6 2 3" xfId="23490" xr:uid="{9AD4C4EE-8D72-4B89-B7EF-D08713ADBDDF}"/>
    <cellStyle name="20% - Accent4 3 2 6 3" xfId="10832" xr:uid="{10F32B7A-417D-4351-B01A-C8ACC5C125C3}"/>
    <cellStyle name="20% - Accent4 3 2 6 4" xfId="19273" xr:uid="{802802DA-7D8F-4B32-B7F2-B5C5F63FFCB6}"/>
    <cellStyle name="20% - Accent4 3 2 7" xfId="4534" xr:uid="{00000000-0005-0000-0000-000046020000}"/>
    <cellStyle name="20% - Accent4 3 2 7 2" xfId="12984" xr:uid="{7C67B741-2474-449B-9EA3-D6E0D3427F2B}"/>
    <cellStyle name="20% - Accent4 3 2 7 3" xfId="21424" xr:uid="{52720E75-EE15-4045-ACBB-67E90325A02F}"/>
    <cellStyle name="20% - Accent4 3 2 8" xfId="8766" xr:uid="{83155433-55F0-49F2-BF56-4069072798B5}"/>
    <cellStyle name="20% - Accent4 3 2 9" xfId="17207" xr:uid="{CEAD9B50-7F6C-4CAF-BC71-15BA93F7FF84}"/>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FA294508-5845-433C-8A8F-BA2F0D571440}"/>
    <cellStyle name="20% - Accent4 3 3 2 2 3" xfId="23982" xr:uid="{86991C42-8B62-49F1-BCDF-272F71531EF7}"/>
    <cellStyle name="20% - Accent4 3 3 2 3" xfId="11324" xr:uid="{267ECDA1-BBE4-442A-99A0-E407C0E32640}"/>
    <cellStyle name="20% - Accent4 3 3 2 4" xfId="19765" xr:uid="{27A61123-4078-44FB-83C3-ECF793CA8C73}"/>
    <cellStyle name="20% - Accent4 3 3 3" xfId="4947" xr:uid="{00000000-0005-0000-0000-00004A020000}"/>
    <cellStyle name="20% - Accent4 3 3 3 2" xfId="13397" xr:uid="{501745C1-DC87-4C4A-92F6-DCB297735564}"/>
    <cellStyle name="20% - Accent4 3 3 3 3" xfId="21837" xr:uid="{E117D296-6B89-402A-B68C-8BA6745DA652}"/>
    <cellStyle name="20% - Accent4 3 3 4" xfId="9179" xr:uid="{9F0923FC-6049-4896-9F7D-EEF7612D223C}"/>
    <cellStyle name="20% - Accent4 3 3 5" xfId="17620" xr:uid="{552D41D8-8ACC-4DEA-A286-53CE3DBDD96F}"/>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8C1C9541-87B1-4913-8865-D548B409A26D}"/>
    <cellStyle name="20% - Accent4 3 4 2 2 3" xfId="24395" xr:uid="{A871A89C-B4BD-4CA7-A70E-6358C4DDBF95}"/>
    <cellStyle name="20% - Accent4 3 4 2 3" xfId="11737" xr:uid="{A90902A8-2FCF-4321-9A6C-273970E5C12F}"/>
    <cellStyle name="20% - Accent4 3 4 2 4" xfId="20178" xr:uid="{3440CA47-B947-4D06-8B7C-6DD61A5B01C0}"/>
    <cellStyle name="20% - Accent4 3 4 3" xfId="5360" xr:uid="{00000000-0005-0000-0000-00004E020000}"/>
    <cellStyle name="20% - Accent4 3 4 3 2" xfId="13810" xr:uid="{53967420-ADEB-467F-A9AF-2D32963BBA3E}"/>
    <cellStyle name="20% - Accent4 3 4 3 3" xfId="22250" xr:uid="{C94E1C43-C499-4981-83D2-D555B9F9E5F8}"/>
    <cellStyle name="20% - Accent4 3 4 4" xfId="9592" xr:uid="{813548B7-93D9-4F49-9CE7-40F7AC333532}"/>
    <cellStyle name="20% - Accent4 3 4 5" xfId="18033" xr:uid="{CD366846-B89A-4651-B79B-F3FAA090703E}"/>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2045C2B7-F3F5-4A8A-BCFF-D9AA89F2E2A3}"/>
    <cellStyle name="20% - Accent4 3 5 2 2 3" xfId="24808" xr:uid="{423B6321-9FBC-4C3E-8075-106234B057F1}"/>
    <cellStyle name="20% - Accent4 3 5 2 3" xfId="12150" xr:uid="{C6AE64FD-69BF-467D-95E7-74D8FEE2D3CD}"/>
    <cellStyle name="20% - Accent4 3 5 2 4" xfId="20591" xr:uid="{43823FE0-44D0-416C-A677-94B34151F793}"/>
    <cellStyle name="20% - Accent4 3 5 3" xfId="5773" xr:uid="{00000000-0005-0000-0000-000052020000}"/>
    <cellStyle name="20% - Accent4 3 5 3 2" xfId="14223" xr:uid="{9648F4A5-9386-4A97-984B-6883047FAD07}"/>
    <cellStyle name="20% - Accent4 3 5 3 3" xfId="22663" xr:uid="{4E5B64CD-56D6-4AE9-9F31-7D5E825FA53B}"/>
    <cellStyle name="20% - Accent4 3 5 4" xfId="10005" xr:uid="{7871EE6C-23ED-44A3-8464-6EB5BE41379F}"/>
    <cellStyle name="20% - Accent4 3 5 5" xfId="18446" xr:uid="{8B42F61C-D513-42FD-8B81-A7576D22F7F5}"/>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E23B9246-B1A1-48F7-BBFA-A9A97F729881}"/>
    <cellStyle name="20% - Accent4 3 6 2 2 3" xfId="25221" xr:uid="{7DBB1CAB-18CA-4E52-B80D-CC77B1C5FF39}"/>
    <cellStyle name="20% - Accent4 3 6 2 3" xfId="12563" xr:uid="{4C595AF9-CA51-42DA-8FD5-7EB6390ADF91}"/>
    <cellStyle name="20% - Accent4 3 6 2 4" xfId="21004" xr:uid="{7733770A-ACD7-4946-B204-0BC9A4857988}"/>
    <cellStyle name="20% - Accent4 3 6 3" xfId="6186" xr:uid="{00000000-0005-0000-0000-000056020000}"/>
    <cellStyle name="20% - Accent4 3 6 3 2" xfId="14636" xr:uid="{25B1C66F-D397-4865-A9D9-9CA46C616F82}"/>
    <cellStyle name="20% - Accent4 3 6 3 3" xfId="23076" xr:uid="{326D2F3E-C617-4F39-AFC2-1974C747F802}"/>
    <cellStyle name="20% - Accent4 3 6 4" xfId="10418" xr:uid="{44387537-F609-48E9-83A8-69D447194E5C}"/>
    <cellStyle name="20% - Accent4 3 6 5" xfId="18859" xr:uid="{CD985907-0DBA-4D90-AE8E-3191EF4BDDBA}"/>
    <cellStyle name="20% - Accent4 3 7" xfId="2293" xr:uid="{00000000-0005-0000-0000-000057020000}"/>
    <cellStyle name="20% - Accent4 3 7 2" xfId="6599" xr:uid="{00000000-0005-0000-0000-000058020000}"/>
    <cellStyle name="20% - Accent4 3 7 2 2" xfId="15049" xr:uid="{B2C56080-A0F2-419F-9568-0110959D2436}"/>
    <cellStyle name="20% - Accent4 3 7 2 3" xfId="23489" xr:uid="{A82B7FEC-85C4-458F-92A4-3D37CE9D2C36}"/>
    <cellStyle name="20% - Accent4 3 7 3" xfId="10831" xr:uid="{5F940EC2-FC82-497C-B836-8784D2D21008}"/>
    <cellStyle name="20% - Accent4 3 7 4" xfId="19272" xr:uid="{7D302289-289D-48D5-8BE1-0C715B36EDCE}"/>
    <cellStyle name="20% - Accent4 3 8" xfId="4533" xr:uid="{00000000-0005-0000-0000-000059020000}"/>
    <cellStyle name="20% - Accent4 3 8 2" xfId="12983" xr:uid="{61FBC1AA-C195-492C-B4DC-19A55084C005}"/>
    <cellStyle name="20% - Accent4 3 8 3" xfId="21423" xr:uid="{9CFE214E-BD77-4E0E-8F19-06CB0E9DC1F1}"/>
    <cellStyle name="20% - Accent4 3 9" xfId="8765" xr:uid="{2646B995-91EC-4172-955C-05A8947F9122}"/>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5F5611E2-7D91-4CC5-91E2-3DBAAFCDB1FB}"/>
    <cellStyle name="20% - Accent4 4 2 2 2 3" xfId="23984" xr:uid="{FD37AECE-75AA-4A72-886E-56B04D916C1B}"/>
    <cellStyle name="20% - Accent4 4 2 2 3" xfId="11326" xr:uid="{529F1E2E-1647-480B-A60C-97F0D6B99418}"/>
    <cellStyle name="20% - Accent4 4 2 2 4" xfId="19767" xr:uid="{E55CD403-9C95-4940-9BD0-35A70D683371}"/>
    <cellStyle name="20% - Accent4 4 2 3" xfId="4949" xr:uid="{00000000-0005-0000-0000-00005E020000}"/>
    <cellStyle name="20% - Accent4 4 2 3 2" xfId="13399" xr:uid="{65CF31D2-6149-4F9A-8278-0CF62330B6C8}"/>
    <cellStyle name="20% - Accent4 4 2 3 3" xfId="21839" xr:uid="{D63A0746-9DB6-4CE2-9020-8B92A3CCFCC9}"/>
    <cellStyle name="20% - Accent4 4 2 4" xfId="9181" xr:uid="{BD5DDE27-8E90-476A-B2B4-765598F1FB3A}"/>
    <cellStyle name="20% - Accent4 4 2 5" xfId="17622" xr:uid="{A085962C-DF43-4161-84CB-06B8E5A5434A}"/>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C4F1E86E-8C59-45E4-8102-0E294CDA5745}"/>
    <cellStyle name="20% - Accent4 4 3 2 2 3" xfId="24397" xr:uid="{BEFEE097-003D-4CD2-8ADE-CA32F6173233}"/>
    <cellStyle name="20% - Accent4 4 3 2 3" xfId="11739" xr:uid="{389CE89A-DC3A-4778-B5EB-C40A780BE2D9}"/>
    <cellStyle name="20% - Accent4 4 3 2 4" xfId="20180" xr:uid="{4507282D-4FF2-423B-968A-249E68D26438}"/>
    <cellStyle name="20% - Accent4 4 3 3" xfId="5362" xr:uid="{00000000-0005-0000-0000-000062020000}"/>
    <cellStyle name="20% - Accent4 4 3 3 2" xfId="13812" xr:uid="{7D3C9294-FAEB-4B5C-9C3E-36D50ECD710A}"/>
    <cellStyle name="20% - Accent4 4 3 3 3" xfId="22252" xr:uid="{B97EC4DC-10F5-4922-AFEA-A67F4AB97F48}"/>
    <cellStyle name="20% - Accent4 4 3 4" xfId="9594" xr:uid="{873AEB57-64F0-4C9C-8B75-9806A4430258}"/>
    <cellStyle name="20% - Accent4 4 3 5" xfId="18035" xr:uid="{A014DBC0-DEC4-4CA4-9A4B-92DB2534394F}"/>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4AFA57BE-03CE-467E-AF9E-415A4FA128DA}"/>
    <cellStyle name="20% - Accent4 4 4 2 2 3" xfId="24810" xr:uid="{815727DF-84CE-424C-B689-D8CB3F629427}"/>
    <cellStyle name="20% - Accent4 4 4 2 3" xfId="12152" xr:uid="{8D359810-1490-48A3-A6CD-96E9ED11291E}"/>
    <cellStyle name="20% - Accent4 4 4 2 4" xfId="20593" xr:uid="{73AF6F1F-90CE-4F49-A77F-6474110D24EC}"/>
    <cellStyle name="20% - Accent4 4 4 3" xfId="5775" xr:uid="{00000000-0005-0000-0000-000066020000}"/>
    <cellStyle name="20% - Accent4 4 4 3 2" xfId="14225" xr:uid="{188E11D9-2502-4756-805C-D8C305831D89}"/>
    <cellStyle name="20% - Accent4 4 4 3 3" xfId="22665" xr:uid="{A73E35D3-509B-4FA0-835D-0036D62397F8}"/>
    <cellStyle name="20% - Accent4 4 4 4" xfId="10007" xr:uid="{CDDCCA40-1ED2-4F9A-99C8-E0D74F36C2D2}"/>
    <cellStyle name="20% - Accent4 4 4 5" xfId="18448" xr:uid="{EA3F62E5-B229-4446-A3D5-9423F272ACE5}"/>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13729C43-F3B8-4FC8-A3B0-6DBDCCEC2F95}"/>
    <cellStyle name="20% - Accent4 4 5 2 2 3" xfId="25223" xr:uid="{AC962083-2D25-4AFA-A217-B13AC7710C35}"/>
    <cellStyle name="20% - Accent4 4 5 2 3" xfId="12565" xr:uid="{5EE20F0E-245E-4E67-848B-97B7A8C6E229}"/>
    <cellStyle name="20% - Accent4 4 5 2 4" xfId="21006" xr:uid="{CB0ADE96-8F2C-48BF-91CA-C5C575D1E00E}"/>
    <cellStyle name="20% - Accent4 4 5 3" xfId="6188" xr:uid="{00000000-0005-0000-0000-00006A020000}"/>
    <cellStyle name="20% - Accent4 4 5 3 2" xfId="14638" xr:uid="{5551A1D6-BCB9-4FB8-8DD5-29C19291D1A0}"/>
    <cellStyle name="20% - Accent4 4 5 3 3" xfId="23078" xr:uid="{49AC0714-7B46-430C-AD4A-9BAAE3EE9422}"/>
    <cellStyle name="20% - Accent4 4 5 4" xfId="10420" xr:uid="{3F6CDD38-7883-4D8D-80B1-7402C16B2EC7}"/>
    <cellStyle name="20% - Accent4 4 5 5" xfId="18861" xr:uid="{36CF20C6-C629-42CA-A5B2-CE279476127C}"/>
    <cellStyle name="20% - Accent4 4 6" xfId="2295" xr:uid="{00000000-0005-0000-0000-00006B020000}"/>
    <cellStyle name="20% - Accent4 4 6 2" xfId="6601" xr:uid="{00000000-0005-0000-0000-00006C020000}"/>
    <cellStyle name="20% - Accent4 4 6 2 2" xfId="15051" xr:uid="{30A810F9-9A6F-4AFE-810C-BDFC7E00AFEE}"/>
    <cellStyle name="20% - Accent4 4 6 2 3" xfId="23491" xr:uid="{60F9DF1D-58CE-41CA-BE29-94132C85113E}"/>
    <cellStyle name="20% - Accent4 4 6 3" xfId="10833" xr:uid="{B5C846CE-E3CF-4365-80C4-DFBDC26B3D8C}"/>
    <cellStyle name="20% - Accent4 4 6 4" xfId="19274" xr:uid="{9D14C1D7-5137-45F4-A1CF-7D5053E825A6}"/>
    <cellStyle name="20% - Accent4 4 7" xfId="4535" xr:uid="{00000000-0005-0000-0000-00006D020000}"/>
    <cellStyle name="20% - Accent4 4 7 2" xfId="12985" xr:uid="{9BA41E99-1184-4D63-A916-56310551E739}"/>
    <cellStyle name="20% - Accent4 4 7 3" xfId="21425" xr:uid="{F4ECE6E6-C0A1-4914-B7E0-0DAFC305DB22}"/>
    <cellStyle name="20% - Accent4 4 8" xfId="8767" xr:uid="{E0EC3BB1-F84E-4871-AFCA-0B5D1A8A8D60}"/>
    <cellStyle name="20% - Accent4 4 9" xfId="17208" xr:uid="{20C65EF7-93B7-430D-9C6F-681B838FC168}"/>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8D7D90A4-BA90-4AE9-82DB-9B2D96F1C0A5}"/>
    <cellStyle name="20% - Accent4 5 2 2 3" xfId="23977" xr:uid="{9114F1BA-CEA9-4082-9675-A6318BE3ABDC}"/>
    <cellStyle name="20% - Accent4 5 2 3" xfId="11319" xr:uid="{EEAE51AF-9FC2-4F38-B773-C2461B6BD217}"/>
    <cellStyle name="20% - Accent4 5 2 4" xfId="19760" xr:uid="{DD3F242C-8BB8-4C53-9D10-84EA3969F0D7}"/>
    <cellStyle name="20% - Accent4 5 3" xfId="4942" xr:uid="{00000000-0005-0000-0000-000071020000}"/>
    <cellStyle name="20% - Accent4 5 3 2" xfId="13392" xr:uid="{256035E3-9804-4480-B76C-65F49CBFC926}"/>
    <cellStyle name="20% - Accent4 5 3 3" xfId="21832" xr:uid="{B13E068A-3618-4C70-937A-BA410761FAF6}"/>
    <cellStyle name="20% - Accent4 5 4" xfId="9174" xr:uid="{53C6CD92-CBBB-40B4-8C80-A2332637EF97}"/>
    <cellStyle name="20% - Accent4 5 5" xfId="17615" xr:uid="{A5049515-AD0D-4ABB-9F90-7E4C6D07F6CC}"/>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CF364B61-2E4C-41EA-8C6A-DA8A5C02BC68}"/>
    <cellStyle name="20% - Accent4 6 2 2 3" xfId="24390" xr:uid="{C0FE2606-A781-423C-B0CE-A9B0DE28BFD2}"/>
    <cellStyle name="20% - Accent4 6 2 3" xfId="11732" xr:uid="{28795A81-3F09-4C71-B63E-573F1E661970}"/>
    <cellStyle name="20% - Accent4 6 2 4" xfId="20173" xr:uid="{4FB731B7-329A-4D06-AE1D-5DF2E6CB9A03}"/>
    <cellStyle name="20% - Accent4 6 3" xfId="5355" xr:uid="{00000000-0005-0000-0000-000075020000}"/>
    <cellStyle name="20% - Accent4 6 3 2" xfId="13805" xr:uid="{39F5240F-C435-4B7C-8CB8-B90E343D746E}"/>
    <cellStyle name="20% - Accent4 6 3 3" xfId="22245" xr:uid="{EFAF0FE9-DD37-42F5-B72F-C488DF3110D1}"/>
    <cellStyle name="20% - Accent4 6 4" xfId="9587" xr:uid="{3D6B3E9D-F8AF-4722-BA45-1C8FD44ADC88}"/>
    <cellStyle name="20% - Accent4 6 5" xfId="18028" xr:uid="{DED555B9-C44E-4C46-862E-776F26F39CCB}"/>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90DDC705-12D3-4056-B534-011EBEE6A57D}"/>
    <cellStyle name="20% - Accent4 7 2 2 3" xfId="24803" xr:uid="{3BA5A9F2-FAED-45E7-BF4F-87DDC5366E3D}"/>
    <cellStyle name="20% - Accent4 7 2 3" xfId="12145" xr:uid="{2B104B07-41E9-4013-B48E-9F24F4E5A8A7}"/>
    <cellStyle name="20% - Accent4 7 2 4" xfId="20586" xr:uid="{805177ED-4BDC-4654-B771-A2383820A17A}"/>
    <cellStyle name="20% - Accent4 7 3" xfId="5768" xr:uid="{00000000-0005-0000-0000-000079020000}"/>
    <cellStyle name="20% - Accent4 7 3 2" xfId="14218" xr:uid="{C483A708-5703-4F87-A1B7-34EA033FD88A}"/>
    <cellStyle name="20% - Accent4 7 3 3" xfId="22658" xr:uid="{B6EBF938-42C0-4953-B649-0FE7A012A6F5}"/>
    <cellStyle name="20% - Accent4 7 4" xfId="10000" xr:uid="{87D576E4-493E-4F21-9DFF-2BA49C5FEC7D}"/>
    <cellStyle name="20% - Accent4 7 5" xfId="18441" xr:uid="{A95E59E2-25E0-47D3-96AE-02613D249013}"/>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3E7C9E60-1785-4A49-A252-4272408C54C6}"/>
    <cellStyle name="20% - Accent4 8 2 2 3" xfId="25216" xr:uid="{B717BFE7-C309-412A-8CAE-70AB6E4EFD2E}"/>
    <cellStyle name="20% - Accent4 8 2 3" xfId="12558" xr:uid="{B17D9C0F-7633-4B99-8635-FD3A73C6C6FC}"/>
    <cellStyle name="20% - Accent4 8 2 4" xfId="20999" xr:uid="{DD621B33-3217-4F98-B6B8-096B9AC9C4E3}"/>
    <cellStyle name="20% - Accent4 8 3" xfId="6181" xr:uid="{00000000-0005-0000-0000-00007D020000}"/>
    <cellStyle name="20% - Accent4 8 3 2" xfId="14631" xr:uid="{B0E64835-9383-49FC-A683-A3617656CDAF}"/>
    <cellStyle name="20% - Accent4 8 3 3" xfId="23071" xr:uid="{3CE11606-00EF-4E2F-8162-77D776C74EC5}"/>
    <cellStyle name="20% - Accent4 8 4" xfId="10413" xr:uid="{8B935D50-1B5F-4E44-9897-AB4ACA62F333}"/>
    <cellStyle name="20% - Accent4 8 5" xfId="18854" xr:uid="{884B09E5-91CC-445C-A65E-B0D47C9B6514}"/>
    <cellStyle name="20% - Accent4 9" xfId="2288" xr:uid="{00000000-0005-0000-0000-00007E020000}"/>
    <cellStyle name="20% - Accent4 9 2" xfId="6594" xr:uid="{00000000-0005-0000-0000-00007F020000}"/>
    <cellStyle name="20% - Accent4 9 2 2" xfId="15044" xr:uid="{9F1C7E95-F6A8-4F50-BFD6-52D65E3A9D22}"/>
    <cellStyle name="20% - Accent4 9 2 3" xfId="23484" xr:uid="{441D6FFF-AEDF-4710-B77D-0D9971F92B48}"/>
    <cellStyle name="20% - Accent4 9 3" xfId="10826" xr:uid="{4D0D4C4D-22AD-4415-AAD5-2257AB0AFC65}"/>
    <cellStyle name="20% - Accent4 9 4" xfId="19267" xr:uid="{445CAA61-4C8C-4A98-8FDE-62CD3534D876}"/>
    <cellStyle name="20% - Accent5" xfId="33" builtinId="46" customBuiltin="1"/>
    <cellStyle name="20% - Accent5 10" xfId="4536" xr:uid="{00000000-0005-0000-0000-000081020000}"/>
    <cellStyle name="20% - Accent5 10 2" xfId="12986" xr:uid="{CC91592B-1798-4914-BAA1-0A8FBC1BC32A}"/>
    <cellStyle name="20% - Accent5 10 3" xfId="21426" xr:uid="{56CFEB37-A201-4031-9F08-5D1DFAB2D029}"/>
    <cellStyle name="20% - Accent5 11" xfId="8768" xr:uid="{8271BCBD-E45F-44BF-BE24-ED3FC99F4A3B}"/>
    <cellStyle name="20% - Accent5 12" xfId="17209" xr:uid="{43988AA1-1410-42A3-B210-EFB624EB19C4}"/>
    <cellStyle name="20% - Accent5 2" xfId="34" xr:uid="{00000000-0005-0000-0000-000082020000}"/>
    <cellStyle name="20% - Accent5 2 10" xfId="8769" xr:uid="{9B4803D1-7103-4586-B602-43866563E2A8}"/>
    <cellStyle name="20% - Accent5 2 11" xfId="17210" xr:uid="{1FAE49B1-81CB-47BD-A080-7903CE3A5119}"/>
    <cellStyle name="20% - Accent5 2 2" xfId="35" xr:uid="{00000000-0005-0000-0000-000083020000}"/>
    <cellStyle name="20% - Accent5 2 2 10" xfId="17211" xr:uid="{D0FB1BD1-8C18-4C14-8B84-390EF587C74C}"/>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723F0A7D-A0A6-41D6-B5F0-32C51CCF9E23}"/>
    <cellStyle name="20% - Accent5 2 2 2 2 2 2 3" xfId="23988" xr:uid="{116291FD-E1C9-40C1-8B35-6489844FDA56}"/>
    <cellStyle name="20% - Accent5 2 2 2 2 2 3" xfId="11330" xr:uid="{27E997FC-1A29-4A6D-9F3D-579265F6D713}"/>
    <cellStyle name="20% - Accent5 2 2 2 2 2 4" xfId="19771" xr:uid="{B9A0EA8D-121A-4B48-A97A-13CA74F62FCF}"/>
    <cellStyle name="20% - Accent5 2 2 2 2 3" xfId="4953" xr:uid="{00000000-0005-0000-0000-000088020000}"/>
    <cellStyle name="20% - Accent5 2 2 2 2 3 2" xfId="13403" xr:uid="{0F71FB13-B175-44D5-9B78-D3CFE965327F}"/>
    <cellStyle name="20% - Accent5 2 2 2 2 3 3" xfId="21843" xr:uid="{28FDF050-150D-4002-ABD6-FD2233980960}"/>
    <cellStyle name="20% - Accent5 2 2 2 2 4" xfId="9185" xr:uid="{B6BF052D-17E0-43E8-8AE7-D3A3E87FDEFD}"/>
    <cellStyle name="20% - Accent5 2 2 2 2 5" xfId="17626" xr:uid="{FBC93F96-B4E6-4354-B0D9-854C6889C72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3103CCAF-1C6E-498A-9C49-9078C246824A}"/>
    <cellStyle name="20% - Accent5 2 2 2 3 2 2 3" xfId="24401" xr:uid="{501EA5F4-92D7-45D3-804E-6F0A8868C8BF}"/>
    <cellStyle name="20% - Accent5 2 2 2 3 2 3" xfId="11743" xr:uid="{E3371BF7-B74D-40D3-8FC5-485D6576DFDB}"/>
    <cellStyle name="20% - Accent5 2 2 2 3 2 4" xfId="20184" xr:uid="{6420E892-D385-4D10-B684-A77EC6F3F190}"/>
    <cellStyle name="20% - Accent5 2 2 2 3 3" xfId="5366" xr:uid="{00000000-0005-0000-0000-00008C020000}"/>
    <cellStyle name="20% - Accent5 2 2 2 3 3 2" xfId="13816" xr:uid="{8B3A66E9-9792-48D6-BBE6-8F43667E8279}"/>
    <cellStyle name="20% - Accent5 2 2 2 3 3 3" xfId="22256" xr:uid="{A5B1E12A-A6A5-4489-9897-0211E7BC12A7}"/>
    <cellStyle name="20% - Accent5 2 2 2 3 4" xfId="9598" xr:uid="{9DCBADCA-9BF5-476A-B81E-B000886F7EB7}"/>
    <cellStyle name="20% - Accent5 2 2 2 3 5" xfId="18039" xr:uid="{8AD25B5A-7240-4833-9184-AE6D21B56D35}"/>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B43716E4-E9EA-456A-B5CD-2F21EDB8C33A}"/>
    <cellStyle name="20% - Accent5 2 2 2 4 2 2 3" xfId="24814" xr:uid="{300B2A84-0816-4BF1-A820-E24DC4620CDB}"/>
    <cellStyle name="20% - Accent5 2 2 2 4 2 3" xfId="12156" xr:uid="{5E31A503-A43A-4FFD-B853-C6F73E395487}"/>
    <cellStyle name="20% - Accent5 2 2 2 4 2 4" xfId="20597" xr:uid="{F71530FD-37B3-4F4D-80B8-CB98577E0B00}"/>
    <cellStyle name="20% - Accent5 2 2 2 4 3" xfId="5779" xr:uid="{00000000-0005-0000-0000-000090020000}"/>
    <cellStyle name="20% - Accent5 2 2 2 4 3 2" xfId="14229" xr:uid="{0A7136D9-0EDE-445F-B815-9D4FD47DFF53}"/>
    <cellStyle name="20% - Accent5 2 2 2 4 3 3" xfId="22669" xr:uid="{5E355002-B5BC-40EB-A074-F410777CA706}"/>
    <cellStyle name="20% - Accent5 2 2 2 4 4" xfId="10011" xr:uid="{1F359C11-C3CA-4E43-8357-99A7F6F23693}"/>
    <cellStyle name="20% - Accent5 2 2 2 4 5" xfId="18452" xr:uid="{C8235B06-8778-4662-ABF7-619AA8E081D9}"/>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0D9BC48-18C7-4E15-96F1-249A6B2D9315}"/>
    <cellStyle name="20% - Accent5 2 2 2 5 2 2 3" xfId="25227" xr:uid="{CF9CEDE4-BC15-4ED0-B65B-E35AF7B3FF87}"/>
    <cellStyle name="20% - Accent5 2 2 2 5 2 3" xfId="12569" xr:uid="{6AAD4660-1D31-45CA-83B0-0E34272ECB1A}"/>
    <cellStyle name="20% - Accent5 2 2 2 5 2 4" xfId="21010" xr:uid="{27DB652C-6476-489D-A900-058C5EA243AB}"/>
    <cellStyle name="20% - Accent5 2 2 2 5 3" xfId="6192" xr:uid="{00000000-0005-0000-0000-000094020000}"/>
    <cellStyle name="20% - Accent5 2 2 2 5 3 2" xfId="14642" xr:uid="{CECB05CF-DCB6-4C0F-B1FA-15CB00F70FB9}"/>
    <cellStyle name="20% - Accent5 2 2 2 5 3 3" xfId="23082" xr:uid="{ABF021A3-C1A7-441C-8A79-96A32CBC41B3}"/>
    <cellStyle name="20% - Accent5 2 2 2 5 4" xfId="10424" xr:uid="{9142ADC1-70F7-40EB-B513-5DFD7C96AC79}"/>
    <cellStyle name="20% - Accent5 2 2 2 5 5" xfId="18865" xr:uid="{CCCBBE02-135D-4E24-AC79-41DFDCDDB35F}"/>
    <cellStyle name="20% - Accent5 2 2 2 6" xfId="2299" xr:uid="{00000000-0005-0000-0000-000095020000}"/>
    <cellStyle name="20% - Accent5 2 2 2 6 2" xfId="6605" xr:uid="{00000000-0005-0000-0000-000096020000}"/>
    <cellStyle name="20% - Accent5 2 2 2 6 2 2" xfId="15055" xr:uid="{BBC53035-5F33-47D8-AFC8-6D87C97AF803}"/>
    <cellStyle name="20% - Accent5 2 2 2 6 2 3" xfId="23495" xr:uid="{4AEC9D85-A68B-4D95-9F57-00C3A0672024}"/>
    <cellStyle name="20% - Accent5 2 2 2 6 3" xfId="10837" xr:uid="{1EBD8A93-D869-4A94-A3D0-029C89C3140E}"/>
    <cellStyle name="20% - Accent5 2 2 2 6 4" xfId="19278" xr:uid="{AC91FC9D-4178-4DEC-AA83-EC73C89A504F}"/>
    <cellStyle name="20% - Accent5 2 2 2 7" xfId="4539" xr:uid="{00000000-0005-0000-0000-000097020000}"/>
    <cellStyle name="20% - Accent5 2 2 2 7 2" xfId="12989" xr:uid="{D66B3CF3-3122-453D-B993-80D53AD37CD9}"/>
    <cellStyle name="20% - Accent5 2 2 2 7 3" xfId="21429" xr:uid="{F92C99B9-4FB4-4E1E-8129-67A9E3EF330C}"/>
    <cellStyle name="20% - Accent5 2 2 2 8" xfId="8771" xr:uid="{30228086-8B61-4AC8-AC79-B39B1C1F5AD3}"/>
    <cellStyle name="20% - Accent5 2 2 2 9" xfId="17212" xr:uid="{922E010E-8150-42C1-9041-4BCC6B13D187}"/>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01AFBF21-B9CE-4FD8-8548-EDBF6ED94825}"/>
    <cellStyle name="20% - Accent5 2 2 3 2 2 3" xfId="23987" xr:uid="{E85193FB-88F8-469A-B32F-88C12207C3A7}"/>
    <cellStyle name="20% - Accent5 2 2 3 2 3" xfId="11329" xr:uid="{252A8424-6CE4-498D-BA2D-F7D1DD191125}"/>
    <cellStyle name="20% - Accent5 2 2 3 2 4" xfId="19770" xr:uid="{3122EC2E-0CB8-48F6-853B-242DFBD68DC5}"/>
    <cellStyle name="20% - Accent5 2 2 3 3" xfId="4952" xr:uid="{00000000-0005-0000-0000-00009B020000}"/>
    <cellStyle name="20% - Accent5 2 2 3 3 2" xfId="13402" xr:uid="{CB1E6CDC-E34D-4D30-BCCB-18B3E4B94D8C}"/>
    <cellStyle name="20% - Accent5 2 2 3 3 3" xfId="21842" xr:uid="{8528706C-C69F-40E3-BD50-AA818227251D}"/>
    <cellStyle name="20% - Accent5 2 2 3 4" xfId="9184" xr:uid="{080719FA-2BE8-4945-8339-0601BEEB93A6}"/>
    <cellStyle name="20% - Accent5 2 2 3 5" xfId="17625" xr:uid="{49B6C6AF-1903-491B-88E7-8A12F8285550}"/>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D98BD1D2-66ED-425C-B53F-17463DBE6ACC}"/>
    <cellStyle name="20% - Accent5 2 2 4 2 2 3" xfId="24400" xr:uid="{654EBB0D-AF60-462E-977A-A1752A71BEAF}"/>
    <cellStyle name="20% - Accent5 2 2 4 2 3" xfId="11742" xr:uid="{FA57554F-4B78-4FCA-999F-87A8483076DA}"/>
    <cellStyle name="20% - Accent5 2 2 4 2 4" xfId="20183" xr:uid="{DA1B260B-1C31-4F99-A7A2-B80086EA4001}"/>
    <cellStyle name="20% - Accent5 2 2 4 3" xfId="5365" xr:uid="{00000000-0005-0000-0000-00009F020000}"/>
    <cellStyle name="20% - Accent5 2 2 4 3 2" xfId="13815" xr:uid="{FB0397AF-5629-4BAE-A728-8EBE76716868}"/>
    <cellStyle name="20% - Accent5 2 2 4 3 3" xfId="22255" xr:uid="{167C19B8-6F16-4098-BCA3-ECBBC2B0E50C}"/>
    <cellStyle name="20% - Accent5 2 2 4 4" xfId="9597" xr:uid="{B847CC82-B91A-47B8-842E-2FC34F89A2C1}"/>
    <cellStyle name="20% - Accent5 2 2 4 5" xfId="18038" xr:uid="{834FCB5C-EF75-447B-A182-F546E4FB50A6}"/>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55ED0E48-5DCD-421A-9B28-03A1237C752A}"/>
    <cellStyle name="20% - Accent5 2 2 5 2 2 3" xfId="24813" xr:uid="{4FD30685-0359-488A-A861-EAC8B5C068B1}"/>
    <cellStyle name="20% - Accent5 2 2 5 2 3" xfId="12155" xr:uid="{4578B659-C16A-4CC3-9441-1C2AE3B8781F}"/>
    <cellStyle name="20% - Accent5 2 2 5 2 4" xfId="20596" xr:uid="{036C0545-EA94-4D83-84D1-5064E7DA94AF}"/>
    <cellStyle name="20% - Accent5 2 2 5 3" xfId="5778" xr:uid="{00000000-0005-0000-0000-0000A3020000}"/>
    <cellStyle name="20% - Accent5 2 2 5 3 2" xfId="14228" xr:uid="{33E23332-D27E-4760-BC38-E086D03ED287}"/>
    <cellStyle name="20% - Accent5 2 2 5 3 3" xfId="22668" xr:uid="{75C73347-98D5-48B8-A60C-323D6D338D01}"/>
    <cellStyle name="20% - Accent5 2 2 5 4" xfId="10010" xr:uid="{EC5FD66B-5CDE-4965-8231-98ADD7C6082A}"/>
    <cellStyle name="20% - Accent5 2 2 5 5" xfId="18451" xr:uid="{C87811D8-A6A3-4373-9292-A3054701ED94}"/>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E9D3CEDE-5861-48C2-95B7-8FC2950BC76E}"/>
    <cellStyle name="20% - Accent5 2 2 6 2 2 3" xfId="25226" xr:uid="{E6CA6792-BC18-4D4D-A658-8A5826E3FBF7}"/>
    <cellStyle name="20% - Accent5 2 2 6 2 3" xfId="12568" xr:uid="{142D1B5C-B719-464A-98D0-355DEB8CDFAB}"/>
    <cellStyle name="20% - Accent5 2 2 6 2 4" xfId="21009" xr:uid="{45DE2C77-152A-4A98-B084-ACAF545E2F34}"/>
    <cellStyle name="20% - Accent5 2 2 6 3" xfId="6191" xr:uid="{00000000-0005-0000-0000-0000A7020000}"/>
    <cellStyle name="20% - Accent5 2 2 6 3 2" xfId="14641" xr:uid="{8F7FD652-B8F6-4933-9022-03FF98C67CEB}"/>
    <cellStyle name="20% - Accent5 2 2 6 3 3" xfId="23081" xr:uid="{0C807B50-484A-4BCE-8A4F-3607D766B5D1}"/>
    <cellStyle name="20% - Accent5 2 2 6 4" xfId="10423" xr:uid="{95B49AB7-4DBC-40A1-95AA-5B7FD4A3AA5E}"/>
    <cellStyle name="20% - Accent5 2 2 6 5" xfId="18864" xr:uid="{23685EC4-42B3-4369-B51D-A6B71A4B44C9}"/>
    <cellStyle name="20% - Accent5 2 2 7" xfId="2298" xr:uid="{00000000-0005-0000-0000-0000A8020000}"/>
    <cellStyle name="20% - Accent5 2 2 7 2" xfId="6604" xr:uid="{00000000-0005-0000-0000-0000A9020000}"/>
    <cellStyle name="20% - Accent5 2 2 7 2 2" xfId="15054" xr:uid="{1C8F152B-F55A-4D63-9A0A-E576210F804B}"/>
    <cellStyle name="20% - Accent5 2 2 7 2 3" xfId="23494" xr:uid="{0094AB50-931C-4F34-B222-B66C742140F0}"/>
    <cellStyle name="20% - Accent5 2 2 7 3" xfId="10836" xr:uid="{FE54B088-2CB1-4742-A7D1-C8FB069D3C04}"/>
    <cellStyle name="20% - Accent5 2 2 7 4" xfId="19277" xr:uid="{138EFB02-DC0F-45CC-93E5-C7666FB30FCD}"/>
    <cellStyle name="20% - Accent5 2 2 8" xfId="4538" xr:uid="{00000000-0005-0000-0000-0000AA020000}"/>
    <cellStyle name="20% - Accent5 2 2 8 2" xfId="12988" xr:uid="{E60883CB-45FD-4D59-ADCE-DB6AE6613BBD}"/>
    <cellStyle name="20% - Accent5 2 2 8 3" xfId="21428" xr:uid="{283D6298-D982-44DF-8BE0-4C303E01A007}"/>
    <cellStyle name="20% - Accent5 2 2 9" xfId="8770" xr:uid="{F5D28ECD-69E3-4C16-965D-4E42B489BC13}"/>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520FDC41-84A0-4653-A99F-FA86764F885E}"/>
    <cellStyle name="20% - Accent5 2 3 2 2 2 3" xfId="23989" xr:uid="{79C85428-BCA6-41AF-976E-FE31B03DE4FD}"/>
    <cellStyle name="20% - Accent5 2 3 2 2 3" xfId="11331" xr:uid="{81B8779A-80DA-401C-94FE-22F273C41265}"/>
    <cellStyle name="20% - Accent5 2 3 2 2 4" xfId="19772" xr:uid="{E9F884B9-05C9-4040-952E-90273C3CCE86}"/>
    <cellStyle name="20% - Accent5 2 3 2 3" xfId="4954" xr:uid="{00000000-0005-0000-0000-0000AF020000}"/>
    <cellStyle name="20% - Accent5 2 3 2 3 2" xfId="13404" xr:uid="{6626610D-9D63-4975-9096-42FA10B8E157}"/>
    <cellStyle name="20% - Accent5 2 3 2 3 3" xfId="21844" xr:uid="{FEA124E5-B8EA-4113-9EC2-6CE5CD2B7ED3}"/>
    <cellStyle name="20% - Accent5 2 3 2 4" xfId="9186" xr:uid="{E5556918-A9D8-48B4-BD9C-337849D516EE}"/>
    <cellStyle name="20% - Accent5 2 3 2 5" xfId="17627" xr:uid="{56FE35B4-31B9-4341-9A6E-2682CFAA773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885B264-14FE-4E27-9629-2B07F9BE2CFF}"/>
    <cellStyle name="20% - Accent5 2 3 3 2 2 3" xfId="24402" xr:uid="{93EE4BD9-E41E-402D-B5FD-3BF6E12E1CC8}"/>
    <cellStyle name="20% - Accent5 2 3 3 2 3" xfId="11744" xr:uid="{4FEA13B0-2AD5-4462-AD52-B164F32BF254}"/>
    <cellStyle name="20% - Accent5 2 3 3 2 4" xfId="20185" xr:uid="{A4BAC3F3-5C8F-4609-8754-5ABCECFDCA5E}"/>
    <cellStyle name="20% - Accent5 2 3 3 3" xfId="5367" xr:uid="{00000000-0005-0000-0000-0000B3020000}"/>
    <cellStyle name="20% - Accent5 2 3 3 3 2" xfId="13817" xr:uid="{4795E6D2-3CA2-427C-BEA1-151B0C6C3FD7}"/>
    <cellStyle name="20% - Accent5 2 3 3 3 3" xfId="22257" xr:uid="{4954FC9D-12EA-42CD-BFB7-41723463A7C2}"/>
    <cellStyle name="20% - Accent5 2 3 3 4" xfId="9599" xr:uid="{1C1A7D6D-F4C8-4DDA-BC8D-1704C2378798}"/>
    <cellStyle name="20% - Accent5 2 3 3 5" xfId="18040" xr:uid="{3F5AEBEB-8832-4EFB-96E4-CA569E708742}"/>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ABAB5B16-05F6-4BA5-B8B5-BAE5A18FECC9}"/>
    <cellStyle name="20% - Accent5 2 3 4 2 2 3" xfId="24815" xr:uid="{A1C5DF33-E6CB-493B-ABA7-AE97B0893390}"/>
    <cellStyle name="20% - Accent5 2 3 4 2 3" xfId="12157" xr:uid="{0AAFA99F-9555-48A5-92C6-F337A85BDFD2}"/>
    <cellStyle name="20% - Accent5 2 3 4 2 4" xfId="20598" xr:uid="{BE35B27A-73DE-4307-BC7F-BEAB63811FD1}"/>
    <cellStyle name="20% - Accent5 2 3 4 3" xfId="5780" xr:uid="{00000000-0005-0000-0000-0000B7020000}"/>
    <cellStyle name="20% - Accent5 2 3 4 3 2" xfId="14230" xr:uid="{1D5FFBE2-9EC7-47CB-90B0-312076EAD958}"/>
    <cellStyle name="20% - Accent5 2 3 4 3 3" xfId="22670" xr:uid="{04727484-7723-412B-BF8B-ECDA0B3A14B0}"/>
    <cellStyle name="20% - Accent5 2 3 4 4" xfId="10012" xr:uid="{E67BBAA0-EBFD-4D5B-BD1D-0344DBE8822C}"/>
    <cellStyle name="20% - Accent5 2 3 4 5" xfId="18453" xr:uid="{29E76527-BD25-4D6F-A383-EDE649534D22}"/>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AA3B9F38-1821-4E2A-A2AD-AE48B082A901}"/>
    <cellStyle name="20% - Accent5 2 3 5 2 2 3" xfId="25228" xr:uid="{0BE2FC26-5512-4FA7-B4AA-0081F177E509}"/>
    <cellStyle name="20% - Accent5 2 3 5 2 3" xfId="12570" xr:uid="{CDB6ADC2-745E-4E61-9A93-91726625D3E7}"/>
    <cellStyle name="20% - Accent5 2 3 5 2 4" xfId="21011" xr:uid="{23F9F326-6078-4B9E-A937-697E5365D994}"/>
    <cellStyle name="20% - Accent5 2 3 5 3" xfId="6193" xr:uid="{00000000-0005-0000-0000-0000BB020000}"/>
    <cellStyle name="20% - Accent5 2 3 5 3 2" xfId="14643" xr:uid="{76BE6C13-AA5F-4C16-9921-BFD9808CBAB0}"/>
    <cellStyle name="20% - Accent5 2 3 5 3 3" xfId="23083" xr:uid="{D8904B20-78A0-4CE2-B933-DD86A34DA3B2}"/>
    <cellStyle name="20% - Accent5 2 3 5 4" xfId="10425" xr:uid="{576A3F94-25CF-4B41-B3BB-B5C3533D91CE}"/>
    <cellStyle name="20% - Accent5 2 3 5 5" xfId="18866" xr:uid="{80B0E9F0-A02A-4963-9439-0E16BA73E530}"/>
    <cellStyle name="20% - Accent5 2 3 6" xfId="2300" xr:uid="{00000000-0005-0000-0000-0000BC020000}"/>
    <cellStyle name="20% - Accent5 2 3 6 2" xfId="6606" xr:uid="{00000000-0005-0000-0000-0000BD020000}"/>
    <cellStyle name="20% - Accent5 2 3 6 2 2" xfId="15056" xr:uid="{7A354A39-17DD-4852-A190-E24BEBA1C291}"/>
    <cellStyle name="20% - Accent5 2 3 6 2 3" xfId="23496" xr:uid="{B817C968-DD45-4252-A08D-51631CD60049}"/>
    <cellStyle name="20% - Accent5 2 3 6 3" xfId="10838" xr:uid="{238CDF4B-DDBE-4325-9F80-F6C0132DE1D2}"/>
    <cellStyle name="20% - Accent5 2 3 6 4" xfId="19279" xr:uid="{AA752FAD-8BB2-4483-A194-D921A5A47293}"/>
    <cellStyle name="20% - Accent5 2 3 7" xfId="4540" xr:uid="{00000000-0005-0000-0000-0000BE020000}"/>
    <cellStyle name="20% - Accent5 2 3 7 2" xfId="12990" xr:uid="{68CDC957-A0D1-4E74-A227-5B56EB024B2B}"/>
    <cellStyle name="20% - Accent5 2 3 7 3" xfId="21430" xr:uid="{8DB1C3C5-1898-4F28-8873-04D6982AC173}"/>
    <cellStyle name="20% - Accent5 2 3 8" xfId="8772" xr:uid="{3E65DF24-D96C-4BBB-B1A3-5029F15D137C}"/>
    <cellStyle name="20% - Accent5 2 3 9" xfId="17213" xr:uid="{E49A4FE2-9C04-4C90-87D2-2E918CB12346}"/>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BD5CF025-7911-4645-AF0B-82AA13E52F11}"/>
    <cellStyle name="20% - Accent5 2 4 2 2 3" xfId="23986" xr:uid="{4AC35CE8-A222-45C6-9AE6-DE59A5E0FA8E}"/>
    <cellStyle name="20% - Accent5 2 4 2 3" xfId="11328" xr:uid="{F75D2DCC-E33B-4D6C-AE46-9CEDDF49E128}"/>
    <cellStyle name="20% - Accent5 2 4 2 4" xfId="19769" xr:uid="{77525093-8376-458C-BED4-666C7F523AFB}"/>
    <cellStyle name="20% - Accent5 2 4 3" xfId="4951" xr:uid="{00000000-0005-0000-0000-0000C2020000}"/>
    <cellStyle name="20% - Accent5 2 4 3 2" xfId="13401" xr:uid="{EE5E4DF7-1362-42C9-9288-192372C2DAAD}"/>
    <cellStyle name="20% - Accent5 2 4 3 3" xfId="21841" xr:uid="{D8958EAB-7947-489C-A3FA-0D46FCE57F04}"/>
    <cellStyle name="20% - Accent5 2 4 4" xfId="9183" xr:uid="{EB58C355-86BF-412E-8AF7-1FD1AC3D4869}"/>
    <cellStyle name="20% - Accent5 2 4 5" xfId="17624" xr:uid="{EA564EE9-8B19-4B2D-A470-CFF9817A10D8}"/>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C56D9D1F-6E43-482F-ABCA-8BDF743042E5}"/>
    <cellStyle name="20% - Accent5 2 5 2 2 3" xfId="24399" xr:uid="{F53AC2D2-F143-4F8F-9BAC-8A1EAD74CC18}"/>
    <cellStyle name="20% - Accent5 2 5 2 3" xfId="11741" xr:uid="{3A347587-A8B9-4FC5-ABBC-85145E225CC7}"/>
    <cellStyle name="20% - Accent5 2 5 2 4" xfId="20182" xr:uid="{B06884BD-558C-4C4B-9461-16A0036B759D}"/>
    <cellStyle name="20% - Accent5 2 5 3" xfId="5364" xr:uid="{00000000-0005-0000-0000-0000C6020000}"/>
    <cellStyle name="20% - Accent5 2 5 3 2" xfId="13814" xr:uid="{BA8DF111-EE87-4EF7-ACCD-9982AE2223B6}"/>
    <cellStyle name="20% - Accent5 2 5 3 3" xfId="22254" xr:uid="{7C083A86-85E0-4391-8C83-C4FA1E85624B}"/>
    <cellStyle name="20% - Accent5 2 5 4" xfId="9596" xr:uid="{8A56B4B4-EF69-4B48-8E11-240A60648874}"/>
    <cellStyle name="20% - Accent5 2 5 5" xfId="18037" xr:uid="{644B1828-70CC-4CFB-B7BC-A24A3D5F509A}"/>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DD780567-AAB1-4F80-83BE-3A751FD12BFA}"/>
    <cellStyle name="20% - Accent5 2 6 2 2 3" xfId="24812" xr:uid="{A7B17418-AEB7-4126-87B2-408C01BA0F96}"/>
    <cellStyle name="20% - Accent5 2 6 2 3" xfId="12154" xr:uid="{8173B9C2-CD0A-49B6-BC9D-427C8B3E42A2}"/>
    <cellStyle name="20% - Accent5 2 6 2 4" xfId="20595" xr:uid="{3C09924A-36BE-473B-A21D-89FBB3642487}"/>
    <cellStyle name="20% - Accent5 2 6 3" xfId="5777" xr:uid="{00000000-0005-0000-0000-0000CA020000}"/>
    <cellStyle name="20% - Accent5 2 6 3 2" xfId="14227" xr:uid="{6B7806F8-CEDD-429B-983F-C7B83EB6A807}"/>
    <cellStyle name="20% - Accent5 2 6 3 3" xfId="22667" xr:uid="{D9B62B07-229C-4AE5-9657-13BABB011935}"/>
    <cellStyle name="20% - Accent5 2 6 4" xfId="10009" xr:uid="{81A7D3FC-0D91-4678-B8B0-874D037953C0}"/>
    <cellStyle name="20% - Accent5 2 6 5" xfId="18450" xr:uid="{EEDDE23D-CCC7-4AD7-A7CF-AD5565D2FDAB}"/>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31159A8B-EBFC-4DC3-99D3-30A498D4DDF4}"/>
    <cellStyle name="20% - Accent5 2 7 2 2 3" xfId="25225" xr:uid="{D7BD99EF-125A-4496-836E-22070E38D2DD}"/>
    <cellStyle name="20% - Accent5 2 7 2 3" xfId="12567" xr:uid="{47F5C3D1-1854-41FC-AC28-4106347619CF}"/>
    <cellStyle name="20% - Accent5 2 7 2 4" xfId="21008" xr:uid="{C550F5FD-07A5-4549-90CD-6569DB2C6F0A}"/>
    <cellStyle name="20% - Accent5 2 7 3" xfId="6190" xr:uid="{00000000-0005-0000-0000-0000CE020000}"/>
    <cellStyle name="20% - Accent5 2 7 3 2" xfId="14640" xr:uid="{6BC40122-A17E-4445-97B4-762D65D29CBA}"/>
    <cellStyle name="20% - Accent5 2 7 3 3" xfId="23080" xr:uid="{39A8229C-2803-4F07-B9C2-3C38CBD877F4}"/>
    <cellStyle name="20% - Accent5 2 7 4" xfId="10422" xr:uid="{E2D4851F-28D3-4119-8B76-75200D93E60B}"/>
    <cellStyle name="20% - Accent5 2 7 5" xfId="18863" xr:uid="{936C04E5-65E2-42FD-B3C7-8FE91A5928AA}"/>
    <cellStyle name="20% - Accent5 2 8" xfId="2297" xr:uid="{00000000-0005-0000-0000-0000CF020000}"/>
    <cellStyle name="20% - Accent5 2 8 2" xfId="6603" xr:uid="{00000000-0005-0000-0000-0000D0020000}"/>
    <cellStyle name="20% - Accent5 2 8 2 2" xfId="15053" xr:uid="{D70F5AC1-2E84-492C-B6FE-3616E8F2D34D}"/>
    <cellStyle name="20% - Accent5 2 8 2 3" xfId="23493" xr:uid="{3CFE90BB-AB5D-4547-92ED-D35F2CD07B22}"/>
    <cellStyle name="20% - Accent5 2 8 3" xfId="10835" xr:uid="{2A0D537A-5BAA-4D97-ADC9-126899069095}"/>
    <cellStyle name="20% - Accent5 2 8 4" xfId="19276" xr:uid="{9E787512-EE4E-4B53-949E-A15D819C9015}"/>
    <cellStyle name="20% - Accent5 2 9" xfId="4537" xr:uid="{00000000-0005-0000-0000-0000D1020000}"/>
    <cellStyle name="20% - Accent5 2 9 2" xfId="12987" xr:uid="{1BE5F7DD-76C7-4702-91FA-7647AE29873E}"/>
    <cellStyle name="20% - Accent5 2 9 3" xfId="21427" xr:uid="{03B63991-13D0-42BF-9455-B8F60F5B89DB}"/>
    <cellStyle name="20% - Accent5 3" xfId="38" xr:uid="{00000000-0005-0000-0000-0000D2020000}"/>
    <cellStyle name="20% - Accent5 3 10" xfId="17214" xr:uid="{17C9D9B6-D7E2-4045-A61E-B330F0805B33}"/>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AD1F1ED7-006D-4C91-A229-C011B0AEBEB4}"/>
    <cellStyle name="20% - Accent5 3 2 2 2 2 3" xfId="23991" xr:uid="{7F4FC619-DE71-4756-BC24-4A3A34106114}"/>
    <cellStyle name="20% - Accent5 3 2 2 2 3" xfId="11333" xr:uid="{E2441DF9-44AD-4FE6-8B57-1E06AD9E1236}"/>
    <cellStyle name="20% - Accent5 3 2 2 2 4" xfId="19774" xr:uid="{ADCB72A9-DF0B-4AEA-A69A-DFE3BCCB7920}"/>
    <cellStyle name="20% - Accent5 3 2 2 3" xfId="4956" xr:uid="{00000000-0005-0000-0000-0000D7020000}"/>
    <cellStyle name="20% - Accent5 3 2 2 3 2" xfId="13406" xr:uid="{FAEDCC56-D1BC-460B-9394-AA45CFCEC5B6}"/>
    <cellStyle name="20% - Accent5 3 2 2 3 3" xfId="21846" xr:uid="{EC7751D6-E5B1-4700-B7D9-586994F0B33C}"/>
    <cellStyle name="20% - Accent5 3 2 2 4" xfId="9188" xr:uid="{BF397C92-9B36-4CD0-840B-884CBFB0B940}"/>
    <cellStyle name="20% - Accent5 3 2 2 5" xfId="17629" xr:uid="{AD21CF5D-33F8-49D3-BAF0-2A28063F9E7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AD9BA584-201C-4038-8DF1-A035B813439F}"/>
    <cellStyle name="20% - Accent5 3 2 3 2 2 3" xfId="24404" xr:uid="{BE6D228C-6004-40C6-8A0A-B34749D76BE3}"/>
    <cellStyle name="20% - Accent5 3 2 3 2 3" xfId="11746" xr:uid="{61714FCF-EDD6-48E2-AEF1-54EFC7FDDF4A}"/>
    <cellStyle name="20% - Accent5 3 2 3 2 4" xfId="20187" xr:uid="{04C2A7AD-44E4-4913-BD28-FC5001E61B0B}"/>
    <cellStyle name="20% - Accent5 3 2 3 3" xfId="5369" xr:uid="{00000000-0005-0000-0000-0000DB020000}"/>
    <cellStyle name="20% - Accent5 3 2 3 3 2" xfId="13819" xr:uid="{7306355E-5CDA-4E52-AB10-13EFB25D94CE}"/>
    <cellStyle name="20% - Accent5 3 2 3 3 3" xfId="22259" xr:uid="{BF9DF8EF-1A05-433A-82CA-1C8A5CC7FAEC}"/>
    <cellStyle name="20% - Accent5 3 2 3 4" xfId="9601" xr:uid="{EE372844-32E0-4BAC-BCEF-9518AB4683A5}"/>
    <cellStyle name="20% - Accent5 3 2 3 5" xfId="18042" xr:uid="{78B6F1BD-C0A0-42A9-87FF-289B7CB5FE09}"/>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9D979DC9-5F94-4CDB-93AE-CE87623C6EEF}"/>
    <cellStyle name="20% - Accent5 3 2 4 2 2 3" xfId="24817" xr:uid="{FAC52FE6-E9D6-4039-8E61-AA4A83EF5311}"/>
    <cellStyle name="20% - Accent5 3 2 4 2 3" xfId="12159" xr:uid="{C63ADF1E-2019-4A88-A377-D9B48DA2FDF1}"/>
    <cellStyle name="20% - Accent5 3 2 4 2 4" xfId="20600" xr:uid="{2408C1E5-4628-4B6F-B7C0-425FA70B0889}"/>
    <cellStyle name="20% - Accent5 3 2 4 3" xfId="5782" xr:uid="{00000000-0005-0000-0000-0000DF020000}"/>
    <cellStyle name="20% - Accent5 3 2 4 3 2" xfId="14232" xr:uid="{21D31EAB-0BE2-43EA-A0EA-7C135EA16651}"/>
    <cellStyle name="20% - Accent5 3 2 4 3 3" xfId="22672" xr:uid="{A3BA47CB-977D-4BBA-90E7-FA80A792BDD4}"/>
    <cellStyle name="20% - Accent5 3 2 4 4" xfId="10014" xr:uid="{B37B6EBC-5263-45EB-B2AC-AE5AAD74583E}"/>
    <cellStyle name="20% - Accent5 3 2 4 5" xfId="18455" xr:uid="{06971BBE-965B-4F5B-84C3-231EE9EB6201}"/>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90606964-5183-482D-A125-D84B88E5364F}"/>
    <cellStyle name="20% - Accent5 3 2 5 2 2 3" xfId="25230" xr:uid="{F766AB4D-9831-45BA-A730-C33EF5F35797}"/>
    <cellStyle name="20% - Accent5 3 2 5 2 3" xfId="12572" xr:uid="{B4471FC6-25D3-4D74-AE03-A978CFFF2825}"/>
    <cellStyle name="20% - Accent5 3 2 5 2 4" xfId="21013" xr:uid="{EFE2E610-6D38-413F-8691-2106BBD8CA18}"/>
    <cellStyle name="20% - Accent5 3 2 5 3" xfId="6195" xr:uid="{00000000-0005-0000-0000-0000E3020000}"/>
    <cellStyle name="20% - Accent5 3 2 5 3 2" xfId="14645" xr:uid="{792BBA91-BD48-4FA0-92AA-489DCB0419AF}"/>
    <cellStyle name="20% - Accent5 3 2 5 3 3" xfId="23085" xr:uid="{6549EC00-68FA-457C-9892-7FAB94FBEA28}"/>
    <cellStyle name="20% - Accent5 3 2 5 4" xfId="10427" xr:uid="{D96BCA2B-1155-4552-BEC8-8EECDE3F5C8E}"/>
    <cellStyle name="20% - Accent5 3 2 5 5" xfId="18868" xr:uid="{16D78F3D-B098-4359-866D-4D813F0A2F66}"/>
    <cellStyle name="20% - Accent5 3 2 6" xfId="2302" xr:uid="{00000000-0005-0000-0000-0000E4020000}"/>
    <cellStyle name="20% - Accent5 3 2 6 2" xfId="6608" xr:uid="{00000000-0005-0000-0000-0000E5020000}"/>
    <cellStyle name="20% - Accent5 3 2 6 2 2" xfId="15058" xr:uid="{842043A0-2E50-40FD-91F8-4C84EDD9785B}"/>
    <cellStyle name="20% - Accent5 3 2 6 2 3" xfId="23498" xr:uid="{BCAB6ED9-6C22-45C4-89D6-CB5E2AAAC98E}"/>
    <cellStyle name="20% - Accent5 3 2 6 3" xfId="10840" xr:uid="{2C5E76D7-7883-4308-B3B0-32BD3C707365}"/>
    <cellStyle name="20% - Accent5 3 2 6 4" xfId="19281" xr:uid="{28BD5307-A1D0-42BE-A7D3-579DC11E321A}"/>
    <cellStyle name="20% - Accent5 3 2 7" xfId="4542" xr:uid="{00000000-0005-0000-0000-0000E6020000}"/>
    <cellStyle name="20% - Accent5 3 2 7 2" xfId="12992" xr:uid="{B87B3E87-EB43-4665-AEB5-B981F7E985D0}"/>
    <cellStyle name="20% - Accent5 3 2 7 3" xfId="21432" xr:uid="{1E6F7332-1638-48FD-9CC6-A97BE5ADFBE3}"/>
    <cellStyle name="20% - Accent5 3 2 8" xfId="8774" xr:uid="{CAE6ADF0-D897-433E-B26D-4AE4A8D59A4C}"/>
    <cellStyle name="20% - Accent5 3 2 9" xfId="17215" xr:uid="{497BBA4F-5E29-4A9E-B1EA-5BF91D7ED110}"/>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6A0E91D4-BB92-4718-BED8-2C32DC1AC61B}"/>
    <cellStyle name="20% - Accent5 3 3 2 2 3" xfId="23990" xr:uid="{01CE936E-6797-444E-90FE-9AF5F9DB4F83}"/>
    <cellStyle name="20% - Accent5 3 3 2 3" xfId="11332" xr:uid="{C0C12486-29CC-4651-BEC3-765E6EB1C569}"/>
    <cellStyle name="20% - Accent5 3 3 2 4" xfId="19773" xr:uid="{81E9CB8D-EC5F-442C-BC9B-6A1D8425810A}"/>
    <cellStyle name="20% - Accent5 3 3 3" xfId="4955" xr:uid="{00000000-0005-0000-0000-0000EA020000}"/>
    <cellStyle name="20% - Accent5 3 3 3 2" xfId="13405" xr:uid="{09734714-1159-496C-84F6-002437B32B2E}"/>
    <cellStyle name="20% - Accent5 3 3 3 3" xfId="21845" xr:uid="{4D4C6A63-559D-4A4F-8EBD-A33597D1C717}"/>
    <cellStyle name="20% - Accent5 3 3 4" xfId="9187" xr:uid="{74122B53-C43E-40A9-85FE-90ACD01D7E15}"/>
    <cellStyle name="20% - Accent5 3 3 5" xfId="17628" xr:uid="{0D6A75CB-964E-4D28-8551-F169DE84C753}"/>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B1E05353-9600-4EFB-BDD4-733435DF1258}"/>
    <cellStyle name="20% - Accent5 3 4 2 2 3" xfId="24403" xr:uid="{DE8A7B2B-34EB-4247-AC9C-C35529B05FFB}"/>
    <cellStyle name="20% - Accent5 3 4 2 3" xfId="11745" xr:uid="{9233B7AC-9F4F-4208-9CF5-7A15CAAD71F4}"/>
    <cellStyle name="20% - Accent5 3 4 2 4" xfId="20186" xr:uid="{B5A6B0E8-3F77-4CFE-AD1A-BACA10A707C8}"/>
    <cellStyle name="20% - Accent5 3 4 3" xfId="5368" xr:uid="{00000000-0005-0000-0000-0000EE020000}"/>
    <cellStyle name="20% - Accent5 3 4 3 2" xfId="13818" xr:uid="{666B5546-211B-4A8F-8372-A598C72C7917}"/>
    <cellStyle name="20% - Accent5 3 4 3 3" xfId="22258" xr:uid="{93AE677D-4BAF-4B21-83A7-55EF9CA196D0}"/>
    <cellStyle name="20% - Accent5 3 4 4" xfId="9600" xr:uid="{FCA7B1B1-379B-47D2-A786-76529A2FA26C}"/>
    <cellStyle name="20% - Accent5 3 4 5" xfId="18041" xr:uid="{899B9D10-0663-4C0D-9563-BDE47893E019}"/>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AAB3CD25-7C7B-4E65-857B-0F45B3DF709D}"/>
    <cellStyle name="20% - Accent5 3 5 2 2 3" xfId="24816" xr:uid="{1EFD80D7-9E61-4F7B-8EE9-B84AA244FC8A}"/>
    <cellStyle name="20% - Accent5 3 5 2 3" xfId="12158" xr:uid="{11C1E1EA-7B09-4376-AB6F-C76644C4EC19}"/>
    <cellStyle name="20% - Accent5 3 5 2 4" xfId="20599" xr:uid="{AAF9B373-F74E-4743-8D9D-9D43922C95E0}"/>
    <cellStyle name="20% - Accent5 3 5 3" xfId="5781" xr:uid="{00000000-0005-0000-0000-0000F2020000}"/>
    <cellStyle name="20% - Accent5 3 5 3 2" xfId="14231" xr:uid="{E36A8E2D-F7F9-4678-8CD5-B6CA168ABD29}"/>
    <cellStyle name="20% - Accent5 3 5 3 3" xfId="22671" xr:uid="{ABE32D7A-B97A-44B6-AD7C-01B5440699EA}"/>
    <cellStyle name="20% - Accent5 3 5 4" xfId="10013" xr:uid="{2916A57A-5151-4B63-900E-3E8B6432ECFC}"/>
    <cellStyle name="20% - Accent5 3 5 5" xfId="18454" xr:uid="{30B48C4E-ADE0-4F1F-A046-B8C1FDA7B91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8FDBBF1D-FD08-47F3-9C31-949209431D13}"/>
    <cellStyle name="20% - Accent5 3 6 2 2 3" xfId="25229" xr:uid="{C6079412-736A-414D-BBBC-A9C3DAFE27BD}"/>
    <cellStyle name="20% - Accent5 3 6 2 3" xfId="12571" xr:uid="{7A981E53-8136-4C02-BB19-77F640E934BF}"/>
    <cellStyle name="20% - Accent5 3 6 2 4" xfId="21012" xr:uid="{8FBA184B-5C34-46C4-AE44-F18D23035106}"/>
    <cellStyle name="20% - Accent5 3 6 3" xfId="6194" xr:uid="{00000000-0005-0000-0000-0000F6020000}"/>
    <cellStyle name="20% - Accent5 3 6 3 2" xfId="14644" xr:uid="{A9BF1A22-198B-4F19-93AA-8919F2543AF2}"/>
    <cellStyle name="20% - Accent5 3 6 3 3" xfId="23084" xr:uid="{B06AD444-EA31-4C95-B10E-5D915A275CB0}"/>
    <cellStyle name="20% - Accent5 3 6 4" xfId="10426" xr:uid="{E4EBEE12-9285-4DE9-B81D-0CF4BA58126D}"/>
    <cellStyle name="20% - Accent5 3 6 5" xfId="18867" xr:uid="{DC2AC333-EF4B-432B-A26B-8214B705695C}"/>
    <cellStyle name="20% - Accent5 3 7" xfId="2301" xr:uid="{00000000-0005-0000-0000-0000F7020000}"/>
    <cellStyle name="20% - Accent5 3 7 2" xfId="6607" xr:uid="{00000000-0005-0000-0000-0000F8020000}"/>
    <cellStyle name="20% - Accent5 3 7 2 2" xfId="15057" xr:uid="{93F9DFC2-C312-4416-AB48-0B2DF491F3AA}"/>
    <cellStyle name="20% - Accent5 3 7 2 3" xfId="23497" xr:uid="{CD5C3669-A3B7-4AB9-8453-78B6327B52D1}"/>
    <cellStyle name="20% - Accent5 3 7 3" xfId="10839" xr:uid="{DC4C4369-0CBF-4861-856A-994175AD3AE1}"/>
    <cellStyle name="20% - Accent5 3 7 4" xfId="19280" xr:uid="{43EFB357-1DA5-4BE7-B6C3-96E19C6B6F78}"/>
    <cellStyle name="20% - Accent5 3 8" xfId="4541" xr:uid="{00000000-0005-0000-0000-0000F9020000}"/>
    <cellStyle name="20% - Accent5 3 8 2" xfId="12991" xr:uid="{735EBE4F-CC0E-4C30-91E3-09834D5B51F2}"/>
    <cellStyle name="20% - Accent5 3 8 3" xfId="21431" xr:uid="{C3A68169-8E55-4873-B9BB-7FF38AE5CA3D}"/>
    <cellStyle name="20% - Accent5 3 9" xfId="8773" xr:uid="{01137234-9F5A-4E6C-A1C4-6F84A234B53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047052E9-8355-437B-9CCA-22B0D6CBC8D8}"/>
    <cellStyle name="20% - Accent5 4 2 2 2 3" xfId="23992" xr:uid="{010F34C0-6290-465A-A695-F08791814471}"/>
    <cellStyle name="20% - Accent5 4 2 2 3" xfId="11334" xr:uid="{9600194E-F0D6-4A70-974B-42B1C41647B3}"/>
    <cellStyle name="20% - Accent5 4 2 2 4" xfId="19775" xr:uid="{5D432A4C-8893-4E98-B243-C4F5046F8533}"/>
    <cellStyle name="20% - Accent5 4 2 3" xfId="4957" xr:uid="{00000000-0005-0000-0000-0000FE020000}"/>
    <cellStyle name="20% - Accent5 4 2 3 2" xfId="13407" xr:uid="{51FC8B84-EBF9-4E30-9AEF-FD9D5580FE82}"/>
    <cellStyle name="20% - Accent5 4 2 3 3" xfId="21847" xr:uid="{D189D248-BC8C-4661-8D6B-E521324EED44}"/>
    <cellStyle name="20% - Accent5 4 2 4" xfId="9189" xr:uid="{608F2FA5-CBA2-4CC4-B9BC-668527D005AD}"/>
    <cellStyle name="20% - Accent5 4 2 5" xfId="17630" xr:uid="{41FE65E1-D3A3-4350-9C29-1E4F90EC6CC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9DE5DD02-A8B2-4EF6-AF59-12A027811790}"/>
    <cellStyle name="20% - Accent5 4 3 2 2 3" xfId="24405" xr:uid="{D5846B9D-F3B6-4169-8AF2-2511BEB1DB29}"/>
    <cellStyle name="20% - Accent5 4 3 2 3" xfId="11747" xr:uid="{38360870-2CE3-446A-BAB7-5167945F9E82}"/>
    <cellStyle name="20% - Accent5 4 3 2 4" xfId="20188" xr:uid="{6F472299-FD3C-41E9-9E07-F1C6082A8E5F}"/>
    <cellStyle name="20% - Accent5 4 3 3" xfId="5370" xr:uid="{00000000-0005-0000-0000-000002030000}"/>
    <cellStyle name="20% - Accent5 4 3 3 2" xfId="13820" xr:uid="{69F0805D-BB90-42CD-BD61-76153118D7D7}"/>
    <cellStyle name="20% - Accent5 4 3 3 3" xfId="22260" xr:uid="{CEDE4F81-26D1-42FC-B6D0-9A10F1B94267}"/>
    <cellStyle name="20% - Accent5 4 3 4" xfId="9602" xr:uid="{54132420-0564-4EDD-AEA3-7825D4CA2F3B}"/>
    <cellStyle name="20% - Accent5 4 3 5" xfId="18043" xr:uid="{5D332948-F145-419D-9B90-08FDB3FEE06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63181E2C-F972-40BC-8F48-B039EECA61AE}"/>
    <cellStyle name="20% - Accent5 4 4 2 2 3" xfId="24818" xr:uid="{6F2D4700-B8EE-4BFA-A2E2-8B5DDC2DC524}"/>
    <cellStyle name="20% - Accent5 4 4 2 3" xfId="12160" xr:uid="{2915D897-FCF1-4FDE-8661-92378CF56923}"/>
    <cellStyle name="20% - Accent5 4 4 2 4" xfId="20601" xr:uid="{3625C83D-07EB-40A5-B55D-4D7DC2A89C5A}"/>
    <cellStyle name="20% - Accent5 4 4 3" xfId="5783" xr:uid="{00000000-0005-0000-0000-000006030000}"/>
    <cellStyle name="20% - Accent5 4 4 3 2" xfId="14233" xr:uid="{9957F1CA-F1CA-4DE2-80B5-6AA0F26D7A87}"/>
    <cellStyle name="20% - Accent5 4 4 3 3" xfId="22673" xr:uid="{007B1493-B509-4A08-914A-06E087B00467}"/>
    <cellStyle name="20% - Accent5 4 4 4" xfId="10015" xr:uid="{62A6B4BA-060E-450B-B62C-5C4D13B6E7B4}"/>
    <cellStyle name="20% - Accent5 4 4 5" xfId="18456" xr:uid="{DBD9CA97-E77F-447A-9A85-3F13759057F6}"/>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F54236F0-BC10-4AF5-AC15-47CA986E8C93}"/>
    <cellStyle name="20% - Accent5 4 5 2 2 3" xfId="25231" xr:uid="{442F2674-E1BA-4E8F-8D9D-AD5182C2AC9C}"/>
    <cellStyle name="20% - Accent5 4 5 2 3" xfId="12573" xr:uid="{DDEC572A-CDC0-4D4C-9531-E827C99493A3}"/>
    <cellStyle name="20% - Accent5 4 5 2 4" xfId="21014" xr:uid="{72116C08-E11A-4653-9A08-46A03A0DCE89}"/>
    <cellStyle name="20% - Accent5 4 5 3" xfId="6196" xr:uid="{00000000-0005-0000-0000-00000A030000}"/>
    <cellStyle name="20% - Accent5 4 5 3 2" xfId="14646" xr:uid="{8488AEDC-ED64-4088-B1E9-C35BA687803D}"/>
    <cellStyle name="20% - Accent5 4 5 3 3" xfId="23086" xr:uid="{17635020-B043-44CD-BB69-4BB1F8FA08B5}"/>
    <cellStyle name="20% - Accent5 4 5 4" xfId="10428" xr:uid="{83E7B1C7-123C-4DE3-A996-F88226FAA886}"/>
    <cellStyle name="20% - Accent5 4 5 5" xfId="18869" xr:uid="{A7FCF2A7-BEF7-4501-981F-1AD7242F26BF}"/>
    <cellStyle name="20% - Accent5 4 6" xfId="2303" xr:uid="{00000000-0005-0000-0000-00000B030000}"/>
    <cellStyle name="20% - Accent5 4 6 2" xfId="6609" xr:uid="{00000000-0005-0000-0000-00000C030000}"/>
    <cellStyle name="20% - Accent5 4 6 2 2" xfId="15059" xr:uid="{7C7792B8-9D2B-40A4-A867-87EF6111A872}"/>
    <cellStyle name="20% - Accent5 4 6 2 3" xfId="23499" xr:uid="{7DBD6F82-DC8E-41F9-BF4A-9E9AB534E640}"/>
    <cellStyle name="20% - Accent5 4 6 3" xfId="10841" xr:uid="{9EA592BD-084A-4C44-ABE5-8F7AA35E3EC7}"/>
    <cellStyle name="20% - Accent5 4 6 4" xfId="19282" xr:uid="{E28EEE4B-DE20-4EA5-B623-122BB62E874A}"/>
    <cellStyle name="20% - Accent5 4 7" xfId="4543" xr:uid="{00000000-0005-0000-0000-00000D030000}"/>
    <cellStyle name="20% - Accent5 4 7 2" xfId="12993" xr:uid="{6A68EF06-2095-4FEB-B225-BDDBF6666735}"/>
    <cellStyle name="20% - Accent5 4 7 3" xfId="21433" xr:uid="{1DEFC081-9041-410B-87D6-018CF2948E6A}"/>
    <cellStyle name="20% - Accent5 4 8" xfId="8775" xr:uid="{07411779-93EC-4020-9C99-EA488AAB3A82}"/>
    <cellStyle name="20% - Accent5 4 9" xfId="17216" xr:uid="{1DB36135-EDBB-43FC-ABE2-EA91ECB3526B}"/>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0E9ED6F6-1FB7-481B-B501-E817981961DF}"/>
    <cellStyle name="20% - Accent5 5 2 2 3" xfId="23985" xr:uid="{09C28F08-3030-4BA1-8263-C690D6D22A41}"/>
    <cellStyle name="20% - Accent5 5 2 3" xfId="11327" xr:uid="{9C5F0BF9-CA38-4103-9B8C-2883BB6B3AB8}"/>
    <cellStyle name="20% - Accent5 5 2 4" xfId="19768" xr:uid="{003313FB-BAA1-4BB3-975A-20ED8B32BBE9}"/>
    <cellStyle name="20% - Accent5 5 3" xfId="4950" xr:uid="{00000000-0005-0000-0000-000011030000}"/>
    <cellStyle name="20% - Accent5 5 3 2" xfId="13400" xr:uid="{078CA578-19B2-46B4-A121-464B1AD2421B}"/>
    <cellStyle name="20% - Accent5 5 3 3" xfId="21840" xr:uid="{9C85F468-0E79-4BAB-975E-C29574F7698D}"/>
    <cellStyle name="20% - Accent5 5 4" xfId="9182" xr:uid="{8E31FCB9-D96A-4ED7-9E23-611A9FF34167}"/>
    <cellStyle name="20% - Accent5 5 5" xfId="17623" xr:uid="{3B6112B7-647B-4F8C-92B6-1AA1DF9376B2}"/>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A748A880-81E9-4486-A0CA-9044AEB9EBE1}"/>
    <cellStyle name="20% - Accent5 6 2 2 3" xfId="24398" xr:uid="{55C3D1B9-6757-4437-BAFA-0728C579753E}"/>
    <cellStyle name="20% - Accent5 6 2 3" xfId="11740" xr:uid="{0D6282DB-AC20-4C69-99EC-BD5693AE6C9A}"/>
    <cellStyle name="20% - Accent5 6 2 4" xfId="20181" xr:uid="{100F21F3-D651-4735-9134-7555C9662074}"/>
    <cellStyle name="20% - Accent5 6 3" xfId="5363" xr:uid="{00000000-0005-0000-0000-000015030000}"/>
    <cellStyle name="20% - Accent5 6 3 2" xfId="13813" xr:uid="{7DA71D8D-246F-4D52-A828-D2FACCAC1E8C}"/>
    <cellStyle name="20% - Accent5 6 3 3" xfId="22253" xr:uid="{FCA41619-6765-40A2-BD18-F71926B5D7E4}"/>
    <cellStyle name="20% - Accent5 6 4" xfId="9595" xr:uid="{19E515F4-8AEB-4B49-B274-D78ADB4709A3}"/>
    <cellStyle name="20% - Accent5 6 5" xfId="18036" xr:uid="{E8F8F48B-BC70-424F-A845-0792040E2B86}"/>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AA5980F9-68D3-4034-BE5F-79D37F1060CA}"/>
    <cellStyle name="20% - Accent5 7 2 2 3" xfId="24811" xr:uid="{EFF5954A-68AE-4B93-B713-2A8B5AF6A0CA}"/>
    <cellStyle name="20% - Accent5 7 2 3" xfId="12153" xr:uid="{A202C318-B309-48B2-9AF9-FE221C9148A8}"/>
    <cellStyle name="20% - Accent5 7 2 4" xfId="20594" xr:uid="{B908DED3-1059-499B-8E91-36E1E803B79B}"/>
    <cellStyle name="20% - Accent5 7 3" xfId="5776" xr:uid="{00000000-0005-0000-0000-000019030000}"/>
    <cellStyle name="20% - Accent5 7 3 2" xfId="14226" xr:uid="{A8F88138-4494-4239-B999-5DF47E20E822}"/>
    <cellStyle name="20% - Accent5 7 3 3" xfId="22666" xr:uid="{943B943F-E947-49E0-A5E4-7C09151CE317}"/>
    <cellStyle name="20% - Accent5 7 4" xfId="10008" xr:uid="{B002F41D-5916-47C4-9BF3-4F0B30CF6334}"/>
    <cellStyle name="20% - Accent5 7 5" xfId="18449" xr:uid="{0BE1FA57-AE8D-462F-BD01-4B9084D980DB}"/>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D501D8DA-FC2D-4FC0-9DBF-87D903724B79}"/>
    <cellStyle name="20% - Accent5 8 2 2 3" xfId="25224" xr:uid="{D6F06866-4FC1-46A6-BE3D-8E85D914CE34}"/>
    <cellStyle name="20% - Accent5 8 2 3" xfId="12566" xr:uid="{C08C44C4-9836-44C7-98C8-66E3367D1509}"/>
    <cellStyle name="20% - Accent5 8 2 4" xfId="21007" xr:uid="{76EB77FB-78CD-4B88-9A44-87B2435AB60A}"/>
    <cellStyle name="20% - Accent5 8 3" xfId="6189" xr:uid="{00000000-0005-0000-0000-00001D030000}"/>
    <cellStyle name="20% - Accent5 8 3 2" xfId="14639" xr:uid="{2CD96074-7068-47A4-ADB6-1EA99B099A55}"/>
    <cellStyle name="20% - Accent5 8 3 3" xfId="23079" xr:uid="{8630C923-4633-4CD2-B1C1-CF331996C716}"/>
    <cellStyle name="20% - Accent5 8 4" xfId="10421" xr:uid="{49013C6E-71D0-4A0B-AFE0-42DBAB763CCE}"/>
    <cellStyle name="20% - Accent5 8 5" xfId="18862" xr:uid="{3F5ED69E-0D68-4B30-9EB8-2B06BFA1B4B1}"/>
    <cellStyle name="20% - Accent5 9" xfId="2296" xr:uid="{00000000-0005-0000-0000-00001E030000}"/>
    <cellStyle name="20% - Accent5 9 2" xfId="6602" xr:uid="{00000000-0005-0000-0000-00001F030000}"/>
    <cellStyle name="20% - Accent5 9 2 2" xfId="15052" xr:uid="{EBC03F42-FF6E-4EA6-98E2-588ACABF25AA}"/>
    <cellStyle name="20% - Accent5 9 2 3" xfId="23492" xr:uid="{209B3215-2A09-48B1-92FE-27410081B70E}"/>
    <cellStyle name="20% - Accent5 9 3" xfId="10834" xr:uid="{8309D6A9-A8D9-4EC3-84D0-23549755412B}"/>
    <cellStyle name="20% - Accent5 9 4" xfId="19275" xr:uid="{AD477203-DE86-49CE-A823-B1DDF0FF89E1}"/>
    <cellStyle name="20% - Accent6" xfId="41" builtinId="50" customBuiltin="1"/>
    <cellStyle name="20% - Accent6 10" xfId="4544" xr:uid="{00000000-0005-0000-0000-000021030000}"/>
    <cellStyle name="20% - Accent6 10 2" xfId="12994" xr:uid="{7B7ACDD1-EFD7-46F7-AAE8-BFDE77E8AD42}"/>
    <cellStyle name="20% - Accent6 10 3" xfId="21434" xr:uid="{48E32FCA-567E-4FDB-B2DF-8891F2D487DE}"/>
    <cellStyle name="20% - Accent6 11" xfId="8776" xr:uid="{145292B1-481D-4FA6-9B4A-29603F5D9C79}"/>
    <cellStyle name="20% - Accent6 12" xfId="17217" xr:uid="{3F9DD0F7-1697-4B30-806D-3F8D03ECC6EF}"/>
    <cellStyle name="20% - Accent6 2" xfId="42" xr:uid="{00000000-0005-0000-0000-000022030000}"/>
    <cellStyle name="20% - Accent6 2 10" xfId="8777" xr:uid="{453020D7-94D5-4859-8884-56B1B9084BE1}"/>
    <cellStyle name="20% - Accent6 2 11" xfId="17218" xr:uid="{A6CFA18D-305E-4C05-817A-FD134CC3B186}"/>
    <cellStyle name="20% - Accent6 2 2" xfId="43" xr:uid="{00000000-0005-0000-0000-000023030000}"/>
    <cellStyle name="20% - Accent6 2 2 10" xfId="17219" xr:uid="{7DEF46A8-6308-4F1B-A2CB-61A2A8190B3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425B3D3F-6436-4F2F-888F-E26F45786869}"/>
    <cellStyle name="20% - Accent6 2 2 2 2 2 2 3" xfId="23996" xr:uid="{D6101C5E-126C-4130-BB72-EB9848DCB964}"/>
    <cellStyle name="20% - Accent6 2 2 2 2 2 3" xfId="11338" xr:uid="{B4D6B3F6-38CA-4854-ABFD-EC4A56F95F52}"/>
    <cellStyle name="20% - Accent6 2 2 2 2 2 4" xfId="19779" xr:uid="{B7982B83-DD81-41AB-84E1-B80C702FA6D2}"/>
    <cellStyle name="20% - Accent6 2 2 2 2 3" xfId="4961" xr:uid="{00000000-0005-0000-0000-000028030000}"/>
    <cellStyle name="20% - Accent6 2 2 2 2 3 2" xfId="13411" xr:uid="{5DB4A293-C211-40E9-B1F1-C15BEA942EB2}"/>
    <cellStyle name="20% - Accent6 2 2 2 2 3 3" xfId="21851" xr:uid="{1936F50A-1B15-401C-A81F-6882298AA5E1}"/>
    <cellStyle name="20% - Accent6 2 2 2 2 4" xfId="9193" xr:uid="{2FE084FE-608D-4C4E-90E8-DE73ABE92B15}"/>
    <cellStyle name="20% - Accent6 2 2 2 2 5" xfId="17634" xr:uid="{0EF3160B-75F3-43F8-9FC6-40F06DE4AA5A}"/>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21D60AC4-6AC1-429E-A239-479BEDEC97D2}"/>
    <cellStyle name="20% - Accent6 2 2 2 3 2 2 3" xfId="24409" xr:uid="{90C58706-8F18-4A1E-8DC8-EB9451A4A53E}"/>
    <cellStyle name="20% - Accent6 2 2 2 3 2 3" xfId="11751" xr:uid="{C4E81AAB-11EB-4AA2-91F8-3ED8D4D6F6BD}"/>
    <cellStyle name="20% - Accent6 2 2 2 3 2 4" xfId="20192" xr:uid="{1BF784B3-D9EE-4B8D-A2CE-DE619E4709DC}"/>
    <cellStyle name="20% - Accent6 2 2 2 3 3" xfId="5374" xr:uid="{00000000-0005-0000-0000-00002C030000}"/>
    <cellStyle name="20% - Accent6 2 2 2 3 3 2" xfId="13824" xr:uid="{4944B104-83A1-4B17-965B-C973D6E504F9}"/>
    <cellStyle name="20% - Accent6 2 2 2 3 3 3" xfId="22264" xr:uid="{B6F31708-19F6-4C9C-B218-710E45D40A66}"/>
    <cellStyle name="20% - Accent6 2 2 2 3 4" xfId="9606" xr:uid="{5505C801-5B13-45DA-B4B3-194F9E5111DC}"/>
    <cellStyle name="20% - Accent6 2 2 2 3 5" xfId="18047" xr:uid="{AB29EF3D-0DD7-4031-AFF0-75124F4EE886}"/>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9387F5D1-93F5-4926-9CFC-2591A103792F}"/>
    <cellStyle name="20% - Accent6 2 2 2 4 2 2 3" xfId="24822" xr:uid="{E5C72301-9163-4C59-B427-099000AB977B}"/>
    <cellStyle name="20% - Accent6 2 2 2 4 2 3" xfId="12164" xr:uid="{3FF2D33D-777D-4BEE-86AA-B77FFB9E0B6E}"/>
    <cellStyle name="20% - Accent6 2 2 2 4 2 4" xfId="20605" xr:uid="{7B9A7216-F7C0-4E35-8272-A1A45B0E82BC}"/>
    <cellStyle name="20% - Accent6 2 2 2 4 3" xfId="5787" xr:uid="{00000000-0005-0000-0000-000030030000}"/>
    <cellStyle name="20% - Accent6 2 2 2 4 3 2" xfId="14237" xr:uid="{ED4858BF-F8B6-437B-A411-680D84428E49}"/>
    <cellStyle name="20% - Accent6 2 2 2 4 3 3" xfId="22677" xr:uid="{538D1ABF-3D66-4CB8-845F-F1E84FF705DD}"/>
    <cellStyle name="20% - Accent6 2 2 2 4 4" xfId="10019" xr:uid="{6C135C03-BB78-44B0-B6DF-BA582A617FB7}"/>
    <cellStyle name="20% - Accent6 2 2 2 4 5" xfId="18460" xr:uid="{401432F8-FC16-493E-A648-D0DE38C2B32E}"/>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97184ABC-7236-4B0E-B5E6-0F9E832208E6}"/>
    <cellStyle name="20% - Accent6 2 2 2 5 2 2 3" xfId="25235" xr:uid="{7CEFF56F-09A6-472E-A887-66BFB21C14B0}"/>
    <cellStyle name="20% - Accent6 2 2 2 5 2 3" xfId="12577" xr:uid="{F85C59AE-6499-47E6-B8E3-024C4C18933D}"/>
    <cellStyle name="20% - Accent6 2 2 2 5 2 4" xfId="21018" xr:uid="{75F6FBAA-06BD-4C6C-BAA8-9F8ECD82B2CA}"/>
    <cellStyle name="20% - Accent6 2 2 2 5 3" xfId="6200" xr:uid="{00000000-0005-0000-0000-000034030000}"/>
    <cellStyle name="20% - Accent6 2 2 2 5 3 2" xfId="14650" xr:uid="{FEB802FD-6AA9-48FD-9841-33A7079D6AA5}"/>
    <cellStyle name="20% - Accent6 2 2 2 5 3 3" xfId="23090" xr:uid="{6EFEDBEB-9FAF-4A97-8F9E-2D6E5340C5C6}"/>
    <cellStyle name="20% - Accent6 2 2 2 5 4" xfId="10432" xr:uid="{03496EB7-7FEE-4D37-8F69-7754997947E0}"/>
    <cellStyle name="20% - Accent6 2 2 2 5 5" xfId="18873" xr:uid="{57094576-B304-4347-B0E5-ADAB00D6205C}"/>
    <cellStyle name="20% - Accent6 2 2 2 6" xfId="2307" xr:uid="{00000000-0005-0000-0000-000035030000}"/>
    <cellStyle name="20% - Accent6 2 2 2 6 2" xfId="6613" xr:uid="{00000000-0005-0000-0000-000036030000}"/>
    <cellStyle name="20% - Accent6 2 2 2 6 2 2" xfId="15063" xr:uid="{C38F30AC-8A6A-4C93-B212-125ABE746D48}"/>
    <cellStyle name="20% - Accent6 2 2 2 6 2 3" xfId="23503" xr:uid="{7B0EEF7E-E734-4796-8A5D-11FB2E923EDB}"/>
    <cellStyle name="20% - Accent6 2 2 2 6 3" xfId="10845" xr:uid="{B13BCDE9-5FFF-4CCF-B086-ACDA541DF793}"/>
    <cellStyle name="20% - Accent6 2 2 2 6 4" xfId="19286" xr:uid="{1D79EFE0-BEAE-46D6-B9B4-FB4E3A2B3C52}"/>
    <cellStyle name="20% - Accent6 2 2 2 7" xfId="4547" xr:uid="{00000000-0005-0000-0000-000037030000}"/>
    <cellStyle name="20% - Accent6 2 2 2 7 2" xfId="12997" xr:uid="{B6E80EA6-A43F-45D4-B6FA-2E3BE8E24B41}"/>
    <cellStyle name="20% - Accent6 2 2 2 7 3" xfId="21437" xr:uid="{B9A4740E-79B0-4377-B2E8-FAA208FECD5C}"/>
    <cellStyle name="20% - Accent6 2 2 2 8" xfId="8779" xr:uid="{7833D236-60B8-4776-BF54-90ED9FB9A78C}"/>
    <cellStyle name="20% - Accent6 2 2 2 9" xfId="17220" xr:uid="{362B3BB0-9028-42C2-8C75-83E2DA3FD723}"/>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53E21DB2-7FB5-4D09-ADB9-06C1309884F7}"/>
    <cellStyle name="20% - Accent6 2 2 3 2 2 3" xfId="23995" xr:uid="{0CE1868C-86A5-4504-A339-BDC1DAF376C7}"/>
    <cellStyle name="20% - Accent6 2 2 3 2 3" xfId="11337" xr:uid="{48057C78-2286-46C8-B78F-FDA4ED274781}"/>
    <cellStyle name="20% - Accent6 2 2 3 2 4" xfId="19778" xr:uid="{3D368FC7-76F8-4476-9473-01A9617030A7}"/>
    <cellStyle name="20% - Accent6 2 2 3 3" xfId="4960" xr:uid="{00000000-0005-0000-0000-00003B030000}"/>
    <cellStyle name="20% - Accent6 2 2 3 3 2" xfId="13410" xr:uid="{1CB8FBEC-A5B0-44D7-8567-E244A05C6EB0}"/>
    <cellStyle name="20% - Accent6 2 2 3 3 3" xfId="21850" xr:uid="{9492E117-46FF-41C0-B9E3-22DEEAC8C5EC}"/>
    <cellStyle name="20% - Accent6 2 2 3 4" xfId="9192" xr:uid="{E23D14F8-E718-442B-AF41-0ABBF13C3A00}"/>
    <cellStyle name="20% - Accent6 2 2 3 5" xfId="17633" xr:uid="{F6E29A24-DCB8-4837-935A-27BF1F11BE96}"/>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F7C29604-7A2C-44CC-B8FF-2901B61DA9B7}"/>
    <cellStyle name="20% - Accent6 2 2 4 2 2 3" xfId="24408" xr:uid="{E61DD252-47A1-4186-A197-1C1551C7E64C}"/>
    <cellStyle name="20% - Accent6 2 2 4 2 3" xfId="11750" xr:uid="{BA1C5FE3-FE62-4406-BE44-2733E1F4785D}"/>
    <cellStyle name="20% - Accent6 2 2 4 2 4" xfId="20191" xr:uid="{64D22315-66BE-4776-BD00-48B8973B172E}"/>
    <cellStyle name="20% - Accent6 2 2 4 3" xfId="5373" xr:uid="{00000000-0005-0000-0000-00003F030000}"/>
    <cellStyle name="20% - Accent6 2 2 4 3 2" xfId="13823" xr:uid="{0E7D7791-5284-4BAA-8010-E3E5A7B16A52}"/>
    <cellStyle name="20% - Accent6 2 2 4 3 3" xfId="22263" xr:uid="{265DE339-465E-40D5-B41F-7586D646477B}"/>
    <cellStyle name="20% - Accent6 2 2 4 4" xfId="9605" xr:uid="{376E4430-C22F-40AB-8F8F-EE175F28A1EB}"/>
    <cellStyle name="20% - Accent6 2 2 4 5" xfId="18046" xr:uid="{2C5CDBC1-DA9D-4E6C-9C99-7BEAD4549362}"/>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C02082C-38C3-4F13-83D6-8C545B713D97}"/>
    <cellStyle name="20% - Accent6 2 2 5 2 2 3" xfId="24821" xr:uid="{51E858B3-0033-405F-9A52-75D9C7F40D20}"/>
    <cellStyle name="20% - Accent6 2 2 5 2 3" xfId="12163" xr:uid="{5E40BB0B-B985-4D19-98B2-4F8C5FA5870C}"/>
    <cellStyle name="20% - Accent6 2 2 5 2 4" xfId="20604" xr:uid="{0500E04F-974A-4888-830A-6FD66348FF23}"/>
    <cellStyle name="20% - Accent6 2 2 5 3" xfId="5786" xr:uid="{00000000-0005-0000-0000-000043030000}"/>
    <cellStyle name="20% - Accent6 2 2 5 3 2" xfId="14236" xr:uid="{FCAA9D08-181E-48AE-ADCA-68BE6E83C46D}"/>
    <cellStyle name="20% - Accent6 2 2 5 3 3" xfId="22676" xr:uid="{7C98921A-5986-4653-8F46-C8DAE0379E8B}"/>
    <cellStyle name="20% - Accent6 2 2 5 4" xfId="10018" xr:uid="{D36442F4-0D46-45EC-BD7A-B12EC9432EBA}"/>
    <cellStyle name="20% - Accent6 2 2 5 5" xfId="18459" xr:uid="{EEEE8EA5-A2B0-46D4-BFC7-2300633C541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58F2F19C-17A4-4F2F-9212-BC3E25C68660}"/>
    <cellStyle name="20% - Accent6 2 2 6 2 2 3" xfId="25234" xr:uid="{2A3BEE94-723E-46AA-ACA4-C88D174D345B}"/>
    <cellStyle name="20% - Accent6 2 2 6 2 3" xfId="12576" xr:uid="{CA57A38D-C5BB-4EEB-BC23-4B2B10BBEBA6}"/>
    <cellStyle name="20% - Accent6 2 2 6 2 4" xfId="21017" xr:uid="{1C54C851-32EA-45DB-9205-21F8A8C5E3E8}"/>
    <cellStyle name="20% - Accent6 2 2 6 3" xfId="6199" xr:uid="{00000000-0005-0000-0000-000047030000}"/>
    <cellStyle name="20% - Accent6 2 2 6 3 2" xfId="14649" xr:uid="{C5860795-5977-4A1B-B655-01F62D67F3DC}"/>
    <cellStyle name="20% - Accent6 2 2 6 3 3" xfId="23089" xr:uid="{8D854F40-17F7-444B-92D7-1C2260F043D5}"/>
    <cellStyle name="20% - Accent6 2 2 6 4" xfId="10431" xr:uid="{A7E90BE7-F95A-4F1C-9153-6ACAF423280A}"/>
    <cellStyle name="20% - Accent6 2 2 6 5" xfId="18872" xr:uid="{70EB6F29-4564-4395-8B94-BD3E9A5A3000}"/>
    <cellStyle name="20% - Accent6 2 2 7" xfId="2306" xr:uid="{00000000-0005-0000-0000-000048030000}"/>
    <cellStyle name="20% - Accent6 2 2 7 2" xfId="6612" xr:uid="{00000000-0005-0000-0000-000049030000}"/>
    <cellStyle name="20% - Accent6 2 2 7 2 2" xfId="15062" xr:uid="{0655C528-F555-4B70-B44F-AB7015DB1F11}"/>
    <cellStyle name="20% - Accent6 2 2 7 2 3" xfId="23502" xr:uid="{8A555672-E50E-49C7-9097-9B0671B9D479}"/>
    <cellStyle name="20% - Accent6 2 2 7 3" xfId="10844" xr:uid="{70BB9E5C-0442-4B13-91EA-DBB1B067AFA5}"/>
    <cellStyle name="20% - Accent6 2 2 7 4" xfId="19285" xr:uid="{90B9F193-8131-4155-BDC1-C364E8765DFC}"/>
    <cellStyle name="20% - Accent6 2 2 8" xfId="4546" xr:uid="{00000000-0005-0000-0000-00004A030000}"/>
    <cellStyle name="20% - Accent6 2 2 8 2" xfId="12996" xr:uid="{406132AE-D335-4E5B-A14E-4188A0BF8077}"/>
    <cellStyle name="20% - Accent6 2 2 8 3" xfId="21436" xr:uid="{4FF152E7-0D35-429C-8B3F-204D77EB728F}"/>
    <cellStyle name="20% - Accent6 2 2 9" xfId="8778" xr:uid="{80C922FF-3281-4328-A97C-8230A3F52BA6}"/>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211ADAB6-1D0A-4465-A55D-40AFB8510ED2}"/>
    <cellStyle name="20% - Accent6 2 3 2 2 2 3" xfId="23997" xr:uid="{7DC729A0-0894-4834-BD41-6D9950D24D91}"/>
    <cellStyle name="20% - Accent6 2 3 2 2 3" xfId="11339" xr:uid="{44E87A11-8581-4E68-85AB-87466A0786B6}"/>
    <cellStyle name="20% - Accent6 2 3 2 2 4" xfId="19780" xr:uid="{269E2B26-75A1-48C6-8660-35702A63BC16}"/>
    <cellStyle name="20% - Accent6 2 3 2 3" xfId="4962" xr:uid="{00000000-0005-0000-0000-00004F030000}"/>
    <cellStyle name="20% - Accent6 2 3 2 3 2" xfId="13412" xr:uid="{F05DD50A-244B-4D7A-BD11-955866BE46C1}"/>
    <cellStyle name="20% - Accent6 2 3 2 3 3" xfId="21852" xr:uid="{81EA0A51-DE87-4EB3-A835-6E54CEE3DA8B}"/>
    <cellStyle name="20% - Accent6 2 3 2 4" xfId="9194" xr:uid="{C215686E-C154-4B13-AAF7-26BF7D3D6B2A}"/>
    <cellStyle name="20% - Accent6 2 3 2 5" xfId="17635" xr:uid="{136451BF-E053-4338-8C6B-7020A518B17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ACDB2289-CCBA-43D2-B48C-59F626ABE00D}"/>
    <cellStyle name="20% - Accent6 2 3 3 2 2 3" xfId="24410" xr:uid="{BD1D4EAA-4A9E-483B-B8D5-55F7F66AE6BA}"/>
    <cellStyle name="20% - Accent6 2 3 3 2 3" xfId="11752" xr:uid="{78163FBE-941A-451C-94F5-E54B37549E1D}"/>
    <cellStyle name="20% - Accent6 2 3 3 2 4" xfId="20193" xr:uid="{F2009EBC-49A3-4BB7-9958-A11E303E6DF5}"/>
    <cellStyle name="20% - Accent6 2 3 3 3" xfId="5375" xr:uid="{00000000-0005-0000-0000-000053030000}"/>
    <cellStyle name="20% - Accent6 2 3 3 3 2" xfId="13825" xr:uid="{D740959D-120A-43EE-AF7D-7463FD337D77}"/>
    <cellStyle name="20% - Accent6 2 3 3 3 3" xfId="22265" xr:uid="{FE29CD5E-F2B6-490B-8880-CD173E3B0892}"/>
    <cellStyle name="20% - Accent6 2 3 3 4" xfId="9607" xr:uid="{417600D7-D1F9-4B39-966E-1884E1BAD652}"/>
    <cellStyle name="20% - Accent6 2 3 3 5" xfId="18048" xr:uid="{9E7871B7-F839-44F4-87BA-E82512A473B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6851F7A2-7575-42E3-B09C-79638AA0774F}"/>
    <cellStyle name="20% - Accent6 2 3 4 2 2 3" xfId="24823" xr:uid="{8EEAE0A6-3501-4F8D-A8B6-AFA282CE63D1}"/>
    <cellStyle name="20% - Accent6 2 3 4 2 3" xfId="12165" xr:uid="{D3D174D6-F479-47FC-8C7C-389C1FEC7387}"/>
    <cellStyle name="20% - Accent6 2 3 4 2 4" xfId="20606" xr:uid="{3E8772C4-04F6-4010-A0AE-8FEFCC86769B}"/>
    <cellStyle name="20% - Accent6 2 3 4 3" xfId="5788" xr:uid="{00000000-0005-0000-0000-000057030000}"/>
    <cellStyle name="20% - Accent6 2 3 4 3 2" xfId="14238" xr:uid="{D09E17F5-D4A9-42C9-AC39-CBF943251263}"/>
    <cellStyle name="20% - Accent6 2 3 4 3 3" xfId="22678" xr:uid="{1B095A8D-90EF-4DFE-9119-9E72347242AA}"/>
    <cellStyle name="20% - Accent6 2 3 4 4" xfId="10020" xr:uid="{07308BFE-9E04-462D-B73F-BCCF1836E556}"/>
    <cellStyle name="20% - Accent6 2 3 4 5" xfId="18461" xr:uid="{0C62B512-E82F-4846-8328-DC868376F69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4A0CFECA-A972-47DA-A885-A58060CB1B63}"/>
    <cellStyle name="20% - Accent6 2 3 5 2 2 3" xfId="25236" xr:uid="{9A21CA43-7CCC-4E0B-AE82-E2AD5DA5478B}"/>
    <cellStyle name="20% - Accent6 2 3 5 2 3" xfId="12578" xr:uid="{71B8B625-DBF7-4FC4-9D01-1E46D6EA7920}"/>
    <cellStyle name="20% - Accent6 2 3 5 2 4" xfId="21019" xr:uid="{A453AFBF-0B39-4FB7-925E-44B8E8242E8A}"/>
    <cellStyle name="20% - Accent6 2 3 5 3" xfId="6201" xr:uid="{00000000-0005-0000-0000-00005B030000}"/>
    <cellStyle name="20% - Accent6 2 3 5 3 2" xfId="14651" xr:uid="{6158019D-A39B-46CB-9229-991D40E6F52E}"/>
    <cellStyle name="20% - Accent6 2 3 5 3 3" xfId="23091" xr:uid="{151F7A38-C20C-4A50-98C0-76CDBD029121}"/>
    <cellStyle name="20% - Accent6 2 3 5 4" xfId="10433" xr:uid="{782BB9BC-B118-4ED1-9C23-36B9F95BD572}"/>
    <cellStyle name="20% - Accent6 2 3 5 5" xfId="18874" xr:uid="{7D4D3645-D3AB-44E5-A24B-AC2A2D6EF1E6}"/>
    <cellStyle name="20% - Accent6 2 3 6" xfId="2308" xr:uid="{00000000-0005-0000-0000-00005C030000}"/>
    <cellStyle name="20% - Accent6 2 3 6 2" xfId="6614" xr:uid="{00000000-0005-0000-0000-00005D030000}"/>
    <cellStyle name="20% - Accent6 2 3 6 2 2" xfId="15064" xr:uid="{DB54B137-4DD7-459B-8EA4-8B014982D071}"/>
    <cellStyle name="20% - Accent6 2 3 6 2 3" xfId="23504" xr:uid="{B62EBA38-8299-4B0F-B9B2-C0822245968F}"/>
    <cellStyle name="20% - Accent6 2 3 6 3" xfId="10846" xr:uid="{7FF1994E-3D14-4D5B-83AE-101DC8F7FA79}"/>
    <cellStyle name="20% - Accent6 2 3 6 4" xfId="19287" xr:uid="{A1D55762-3ABD-4C24-8E8A-6F961FD3590B}"/>
    <cellStyle name="20% - Accent6 2 3 7" xfId="4548" xr:uid="{00000000-0005-0000-0000-00005E030000}"/>
    <cellStyle name="20% - Accent6 2 3 7 2" xfId="12998" xr:uid="{D65875FB-CC14-4455-A9DB-CC6D510C92E9}"/>
    <cellStyle name="20% - Accent6 2 3 7 3" xfId="21438" xr:uid="{E17A3F2D-4838-4148-822F-10258A47B21C}"/>
    <cellStyle name="20% - Accent6 2 3 8" xfId="8780" xr:uid="{81BAD280-5ECF-4073-92F7-7991FF447C61}"/>
    <cellStyle name="20% - Accent6 2 3 9" xfId="17221" xr:uid="{A772D362-58B5-4255-BE0D-801156158124}"/>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73F64AFB-E793-464E-B87D-5A9AFB466A1B}"/>
    <cellStyle name="20% - Accent6 2 4 2 2 3" xfId="23994" xr:uid="{D5B048C9-F03D-4AF9-B8AB-B6D2AFD915D2}"/>
    <cellStyle name="20% - Accent6 2 4 2 3" xfId="11336" xr:uid="{19C71BD2-F5A3-4547-8C36-293A663B0BA6}"/>
    <cellStyle name="20% - Accent6 2 4 2 4" xfId="19777" xr:uid="{E9A707B5-CA18-4339-9B5F-423106E8B9BC}"/>
    <cellStyle name="20% - Accent6 2 4 3" xfId="4959" xr:uid="{00000000-0005-0000-0000-000062030000}"/>
    <cellStyle name="20% - Accent6 2 4 3 2" xfId="13409" xr:uid="{8C30EBB4-CABC-4711-98BE-2C29A92D90E4}"/>
    <cellStyle name="20% - Accent6 2 4 3 3" xfId="21849" xr:uid="{57695F40-A5D1-4F77-B21F-394046655E47}"/>
    <cellStyle name="20% - Accent6 2 4 4" xfId="9191" xr:uid="{2B27F52A-6CF2-4D07-B016-08FA013FD721}"/>
    <cellStyle name="20% - Accent6 2 4 5" xfId="17632" xr:uid="{5193D818-B44A-43F0-AA41-4064813DF35B}"/>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A006E3D5-8CAE-4D71-A016-CC16E5F7DA2D}"/>
    <cellStyle name="20% - Accent6 2 5 2 2 3" xfId="24407" xr:uid="{A84AAEFB-5FDA-4510-B888-E114F146AF12}"/>
    <cellStyle name="20% - Accent6 2 5 2 3" xfId="11749" xr:uid="{953AF56C-4A15-456D-9E59-4E8BBE290026}"/>
    <cellStyle name="20% - Accent6 2 5 2 4" xfId="20190" xr:uid="{F5657996-6563-4583-809D-D76990053553}"/>
    <cellStyle name="20% - Accent6 2 5 3" xfId="5372" xr:uid="{00000000-0005-0000-0000-000066030000}"/>
    <cellStyle name="20% - Accent6 2 5 3 2" xfId="13822" xr:uid="{69CA43CA-5344-4798-B6E1-6947DF13BF7F}"/>
    <cellStyle name="20% - Accent6 2 5 3 3" xfId="22262" xr:uid="{468EE79B-E473-4C94-A65B-1618DCC594B4}"/>
    <cellStyle name="20% - Accent6 2 5 4" xfId="9604" xr:uid="{470E83AB-73E6-4C2F-9090-6D3DDFCBC217}"/>
    <cellStyle name="20% - Accent6 2 5 5" xfId="18045" xr:uid="{3C1E42AB-8416-4C6F-9A67-18487A6134D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4C18BCF7-6BE3-4936-9027-0F612D337342}"/>
    <cellStyle name="20% - Accent6 2 6 2 2 3" xfId="24820" xr:uid="{97C41CF5-0767-4EA4-9BEB-322630F6273D}"/>
    <cellStyle name="20% - Accent6 2 6 2 3" xfId="12162" xr:uid="{E3075FC3-0B1A-494F-A72D-360A6C755AE8}"/>
    <cellStyle name="20% - Accent6 2 6 2 4" xfId="20603" xr:uid="{480ED474-B724-4D0D-9BBB-63D9BC67D7C5}"/>
    <cellStyle name="20% - Accent6 2 6 3" xfId="5785" xr:uid="{00000000-0005-0000-0000-00006A030000}"/>
    <cellStyle name="20% - Accent6 2 6 3 2" xfId="14235" xr:uid="{29266224-AF69-44D5-A49B-C8B92A485BDD}"/>
    <cellStyle name="20% - Accent6 2 6 3 3" xfId="22675" xr:uid="{993C2029-61D9-478A-A666-BCAA5E2871C3}"/>
    <cellStyle name="20% - Accent6 2 6 4" xfId="10017" xr:uid="{A12C5C0A-E63B-4947-BEBD-4F87BCBF9B74}"/>
    <cellStyle name="20% - Accent6 2 6 5" xfId="18458" xr:uid="{493025F7-5220-4DE6-8B84-3F29D5ED9FED}"/>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19FE39C5-4ABD-4BDC-B569-7FC24A54CF1A}"/>
    <cellStyle name="20% - Accent6 2 7 2 2 3" xfId="25233" xr:uid="{C87A308C-6309-4D25-92F5-4017A5BED159}"/>
    <cellStyle name="20% - Accent6 2 7 2 3" xfId="12575" xr:uid="{A1039DF7-10DE-4DEB-824E-69BB00E38C1E}"/>
    <cellStyle name="20% - Accent6 2 7 2 4" xfId="21016" xr:uid="{57D51DE8-0F77-4C0F-B0AB-5D238C58BA0D}"/>
    <cellStyle name="20% - Accent6 2 7 3" xfId="6198" xr:uid="{00000000-0005-0000-0000-00006E030000}"/>
    <cellStyle name="20% - Accent6 2 7 3 2" xfId="14648" xr:uid="{4E224A6B-C3FC-4657-947D-1AA285D364CC}"/>
    <cellStyle name="20% - Accent6 2 7 3 3" xfId="23088" xr:uid="{9E457642-6512-4D06-AFEF-FB5E909850F4}"/>
    <cellStyle name="20% - Accent6 2 7 4" xfId="10430" xr:uid="{D5FA3D3B-6B18-4E86-B1F5-5C799F8A7D51}"/>
    <cellStyle name="20% - Accent6 2 7 5" xfId="18871" xr:uid="{0E3E9E97-062D-4AEF-AFD9-2939F79ABDB1}"/>
    <cellStyle name="20% - Accent6 2 8" xfId="2305" xr:uid="{00000000-0005-0000-0000-00006F030000}"/>
    <cellStyle name="20% - Accent6 2 8 2" xfId="6611" xr:uid="{00000000-0005-0000-0000-000070030000}"/>
    <cellStyle name="20% - Accent6 2 8 2 2" xfId="15061" xr:uid="{B6AD9FAC-4DA9-4676-93AE-4A9CD60796BE}"/>
    <cellStyle name="20% - Accent6 2 8 2 3" xfId="23501" xr:uid="{2151D8B4-6647-429E-A272-73F4286300EE}"/>
    <cellStyle name="20% - Accent6 2 8 3" xfId="10843" xr:uid="{C098FC6D-F88F-446F-8A92-5DE88E33C2FE}"/>
    <cellStyle name="20% - Accent6 2 8 4" xfId="19284" xr:uid="{DD1F4650-5362-44E3-B7FF-4A405B7DF26A}"/>
    <cellStyle name="20% - Accent6 2 9" xfId="4545" xr:uid="{00000000-0005-0000-0000-000071030000}"/>
    <cellStyle name="20% - Accent6 2 9 2" xfId="12995" xr:uid="{3F9B0139-0158-4388-B753-47787A1DF94D}"/>
    <cellStyle name="20% - Accent6 2 9 3" xfId="21435" xr:uid="{82725088-9E99-4656-AA79-A31D03015648}"/>
    <cellStyle name="20% - Accent6 3" xfId="46" xr:uid="{00000000-0005-0000-0000-000072030000}"/>
    <cellStyle name="20% - Accent6 3 10" xfId="17222" xr:uid="{B724AF13-4C2C-461C-BF4B-E03E3517AA3F}"/>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D18B5B4B-211D-4856-A64A-6B36C5CCE6DB}"/>
    <cellStyle name="20% - Accent6 3 2 2 2 2 3" xfId="23999" xr:uid="{03384AC3-C6ED-4EB7-90BA-282028811F1B}"/>
    <cellStyle name="20% - Accent6 3 2 2 2 3" xfId="11341" xr:uid="{4B40414B-4451-4B8B-A781-EF3742C36C14}"/>
    <cellStyle name="20% - Accent6 3 2 2 2 4" xfId="19782" xr:uid="{C00B2586-469F-4097-AE28-8A7D818F395E}"/>
    <cellStyle name="20% - Accent6 3 2 2 3" xfId="4964" xr:uid="{00000000-0005-0000-0000-000077030000}"/>
    <cellStyle name="20% - Accent6 3 2 2 3 2" xfId="13414" xr:uid="{A715FD16-B989-4A0C-A59C-ABE8E14730AF}"/>
    <cellStyle name="20% - Accent6 3 2 2 3 3" xfId="21854" xr:uid="{321B90AF-0EFC-438B-B98F-56E4C74BAE3C}"/>
    <cellStyle name="20% - Accent6 3 2 2 4" xfId="9196" xr:uid="{1A2DA225-D26C-4088-AC27-E1CF60EF2AD3}"/>
    <cellStyle name="20% - Accent6 3 2 2 5" xfId="17637" xr:uid="{5D85C051-FDBB-46DE-BAB5-DAC1FDBC13DF}"/>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D9D337EE-1A04-4459-AF24-4E27E00B71CF}"/>
    <cellStyle name="20% - Accent6 3 2 3 2 2 3" xfId="24412" xr:uid="{FB52CAE7-C93A-40C1-A696-70640876B0D4}"/>
    <cellStyle name="20% - Accent6 3 2 3 2 3" xfId="11754" xr:uid="{D8A7836E-4FF6-4DA9-A429-2EAC3DBFCED7}"/>
    <cellStyle name="20% - Accent6 3 2 3 2 4" xfId="20195" xr:uid="{2444FDC8-3481-450E-9A57-F72830C7F0C8}"/>
    <cellStyle name="20% - Accent6 3 2 3 3" xfId="5377" xr:uid="{00000000-0005-0000-0000-00007B030000}"/>
    <cellStyle name="20% - Accent6 3 2 3 3 2" xfId="13827" xr:uid="{1D3FE7D7-E55C-4D3A-9D99-626859FD53A6}"/>
    <cellStyle name="20% - Accent6 3 2 3 3 3" xfId="22267" xr:uid="{8EB13C66-50BA-4357-95DF-03A1EF1DD966}"/>
    <cellStyle name="20% - Accent6 3 2 3 4" xfId="9609" xr:uid="{902D1A4B-FC2D-4A1A-A1B6-395B5E1BF6C5}"/>
    <cellStyle name="20% - Accent6 3 2 3 5" xfId="18050" xr:uid="{A6101A64-FA3A-4158-B51C-6D01FD7FBF57}"/>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9C719427-56BA-49D2-9D42-ADCADBD82A93}"/>
    <cellStyle name="20% - Accent6 3 2 4 2 2 3" xfId="24825" xr:uid="{721FD5E7-50FA-4F5D-B9A2-9B4ED17BD794}"/>
    <cellStyle name="20% - Accent6 3 2 4 2 3" xfId="12167" xr:uid="{1435A083-D993-48FE-B356-187911599726}"/>
    <cellStyle name="20% - Accent6 3 2 4 2 4" xfId="20608" xr:uid="{156F23B5-17EF-4D02-BBC8-2A8912019E49}"/>
    <cellStyle name="20% - Accent6 3 2 4 3" xfId="5790" xr:uid="{00000000-0005-0000-0000-00007F030000}"/>
    <cellStyle name="20% - Accent6 3 2 4 3 2" xfId="14240" xr:uid="{DB9F218A-BE92-4DB7-B9F9-6C0A842DC6F8}"/>
    <cellStyle name="20% - Accent6 3 2 4 3 3" xfId="22680" xr:uid="{A843E13A-723F-4F13-A6A3-D7B2CEA61C2C}"/>
    <cellStyle name="20% - Accent6 3 2 4 4" xfId="10022" xr:uid="{6B7314A3-3FE1-4036-86F9-F7BC58C8DE2C}"/>
    <cellStyle name="20% - Accent6 3 2 4 5" xfId="18463" xr:uid="{69AD8DC2-F48C-41F2-9451-47F1103AAE87}"/>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8D25A57A-A003-4FB4-A78E-548C7ED7417C}"/>
    <cellStyle name="20% - Accent6 3 2 5 2 2 3" xfId="25238" xr:uid="{2D240CB1-18BC-4279-91D7-70FFB530550B}"/>
    <cellStyle name="20% - Accent6 3 2 5 2 3" xfId="12580" xr:uid="{B6E495A1-F914-4092-B562-3F4975FED1DE}"/>
    <cellStyle name="20% - Accent6 3 2 5 2 4" xfId="21021" xr:uid="{6BD40908-C8A0-4B63-90B9-5CCB4DBDFA60}"/>
    <cellStyle name="20% - Accent6 3 2 5 3" xfId="6203" xr:uid="{00000000-0005-0000-0000-000083030000}"/>
    <cellStyle name="20% - Accent6 3 2 5 3 2" xfId="14653" xr:uid="{67CD182A-504E-42D1-9465-8DD0A082C8A6}"/>
    <cellStyle name="20% - Accent6 3 2 5 3 3" xfId="23093" xr:uid="{697D49CA-EE26-4DA5-A816-811BF8E5C5B3}"/>
    <cellStyle name="20% - Accent6 3 2 5 4" xfId="10435" xr:uid="{957DAFD4-4C7E-499B-AFA2-E6575F1D1C00}"/>
    <cellStyle name="20% - Accent6 3 2 5 5" xfId="18876" xr:uid="{195C354E-25FB-4DFF-8A7D-9E5913D8F777}"/>
    <cellStyle name="20% - Accent6 3 2 6" xfId="2310" xr:uid="{00000000-0005-0000-0000-000084030000}"/>
    <cellStyle name="20% - Accent6 3 2 6 2" xfId="6616" xr:uid="{00000000-0005-0000-0000-000085030000}"/>
    <cellStyle name="20% - Accent6 3 2 6 2 2" xfId="15066" xr:uid="{85C857B3-C957-463B-A707-0A6A69FF7063}"/>
    <cellStyle name="20% - Accent6 3 2 6 2 3" xfId="23506" xr:uid="{EA14E51A-5B9F-44DD-AE95-8FEAC153AAF2}"/>
    <cellStyle name="20% - Accent6 3 2 6 3" xfId="10848" xr:uid="{A957599E-983C-4AA0-88E8-CB31E81231CC}"/>
    <cellStyle name="20% - Accent6 3 2 6 4" xfId="19289" xr:uid="{F0D75098-A3E5-44C3-AEB5-5CEAD019783F}"/>
    <cellStyle name="20% - Accent6 3 2 7" xfId="4550" xr:uid="{00000000-0005-0000-0000-000086030000}"/>
    <cellStyle name="20% - Accent6 3 2 7 2" xfId="13000" xr:uid="{3E18B5E5-FAF3-4C93-8816-3937A6688E2D}"/>
    <cellStyle name="20% - Accent6 3 2 7 3" xfId="21440" xr:uid="{46A4E4A3-FF8D-4CDA-9EC2-E7651D68AC99}"/>
    <cellStyle name="20% - Accent6 3 2 8" xfId="8782" xr:uid="{A272814D-6D57-40CF-9B6C-E0DDEA99EE26}"/>
    <cellStyle name="20% - Accent6 3 2 9" xfId="17223" xr:uid="{D3205E8C-1E20-436D-820B-CD7B6FC4495A}"/>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E91F811E-FB3A-4D3A-9EB8-D3967C1CC1CF}"/>
    <cellStyle name="20% - Accent6 3 3 2 2 3" xfId="23998" xr:uid="{77D75970-F681-49CE-AA8D-D8043E1A8888}"/>
    <cellStyle name="20% - Accent6 3 3 2 3" xfId="11340" xr:uid="{2287BB7E-2A7F-4025-B130-EB7EBC9A514C}"/>
    <cellStyle name="20% - Accent6 3 3 2 4" xfId="19781" xr:uid="{405BAFCD-2D21-4984-B1F0-7201774BDB93}"/>
    <cellStyle name="20% - Accent6 3 3 3" xfId="4963" xr:uid="{00000000-0005-0000-0000-00008A030000}"/>
    <cellStyle name="20% - Accent6 3 3 3 2" xfId="13413" xr:uid="{110EEAE3-D8FD-4711-B44A-9636A2FD7262}"/>
    <cellStyle name="20% - Accent6 3 3 3 3" xfId="21853" xr:uid="{7E1B3FE4-F250-48C2-9073-DCE9DDC2A5C9}"/>
    <cellStyle name="20% - Accent6 3 3 4" xfId="9195" xr:uid="{D4B63E9D-23AD-41C3-9258-4F0CF55F5B2C}"/>
    <cellStyle name="20% - Accent6 3 3 5" xfId="17636" xr:uid="{764896B9-53EE-45F6-97DE-9D625B9F205D}"/>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8CFFD919-2C8C-4054-80E9-3622FDCDA377}"/>
    <cellStyle name="20% - Accent6 3 4 2 2 3" xfId="24411" xr:uid="{80E0CE80-D491-432D-AB6D-6388E7FF1582}"/>
    <cellStyle name="20% - Accent6 3 4 2 3" xfId="11753" xr:uid="{C1F5302C-DF25-4FEB-9994-9E8CB137793A}"/>
    <cellStyle name="20% - Accent6 3 4 2 4" xfId="20194" xr:uid="{F3444B63-F39D-4F6F-BD01-2A18E494CC1F}"/>
    <cellStyle name="20% - Accent6 3 4 3" xfId="5376" xr:uid="{00000000-0005-0000-0000-00008E030000}"/>
    <cellStyle name="20% - Accent6 3 4 3 2" xfId="13826" xr:uid="{F90DD44A-F8C2-4C49-9A2C-E09284326ECA}"/>
    <cellStyle name="20% - Accent6 3 4 3 3" xfId="22266" xr:uid="{1737BCC3-2FCE-4081-AC1C-53C72AA42F5A}"/>
    <cellStyle name="20% - Accent6 3 4 4" xfId="9608" xr:uid="{55D98785-DC94-43B7-A24B-123B4A20C0E4}"/>
    <cellStyle name="20% - Accent6 3 4 5" xfId="18049" xr:uid="{700D4DAC-2A37-48B2-B2F8-7B4690E98308}"/>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1DE64D7C-971E-470D-99A1-EB7B2D052418}"/>
    <cellStyle name="20% - Accent6 3 5 2 2 3" xfId="24824" xr:uid="{D271AAB1-1B78-4709-9FD6-1271F85F67CC}"/>
    <cellStyle name="20% - Accent6 3 5 2 3" xfId="12166" xr:uid="{6E914376-F4CD-4443-AD60-FE53E3B82756}"/>
    <cellStyle name="20% - Accent6 3 5 2 4" xfId="20607" xr:uid="{FB5EBF06-F4ED-4202-871C-45C93205575B}"/>
    <cellStyle name="20% - Accent6 3 5 3" xfId="5789" xr:uid="{00000000-0005-0000-0000-000092030000}"/>
    <cellStyle name="20% - Accent6 3 5 3 2" xfId="14239" xr:uid="{CFA0E756-3137-4622-B059-EA4408E53A3B}"/>
    <cellStyle name="20% - Accent6 3 5 3 3" xfId="22679" xr:uid="{659103C0-FFBE-412A-95DF-ED4E3BF66685}"/>
    <cellStyle name="20% - Accent6 3 5 4" xfId="10021" xr:uid="{1492761C-0531-4378-86F1-348C9A985C6A}"/>
    <cellStyle name="20% - Accent6 3 5 5" xfId="18462" xr:uid="{446017F8-D6F9-43DF-9312-300FE3C466B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B4561B51-A02C-470C-B7EE-D5E721490E6C}"/>
    <cellStyle name="20% - Accent6 3 6 2 2 3" xfId="25237" xr:uid="{EEBDFADD-7A4F-4902-9CE4-3BE8118D66F9}"/>
    <cellStyle name="20% - Accent6 3 6 2 3" xfId="12579" xr:uid="{FE1C43CD-AC5D-4684-AEEC-2123692A266B}"/>
    <cellStyle name="20% - Accent6 3 6 2 4" xfId="21020" xr:uid="{2C592636-2AA0-42A5-95E1-54C27F5B70F8}"/>
    <cellStyle name="20% - Accent6 3 6 3" xfId="6202" xr:uid="{00000000-0005-0000-0000-000096030000}"/>
    <cellStyle name="20% - Accent6 3 6 3 2" xfId="14652" xr:uid="{B4B8EFDB-A51B-4380-B46B-AAF33A07D43C}"/>
    <cellStyle name="20% - Accent6 3 6 3 3" xfId="23092" xr:uid="{6B07BF70-443B-4391-82D2-63F295FC4BDC}"/>
    <cellStyle name="20% - Accent6 3 6 4" xfId="10434" xr:uid="{CE4AAEB2-6873-484F-B96A-23ED058C76FE}"/>
    <cellStyle name="20% - Accent6 3 6 5" xfId="18875" xr:uid="{7B0E821F-D2A1-4807-8584-F638E75DC6F8}"/>
    <cellStyle name="20% - Accent6 3 7" xfId="2309" xr:uid="{00000000-0005-0000-0000-000097030000}"/>
    <cellStyle name="20% - Accent6 3 7 2" xfId="6615" xr:uid="{00000000-0005-0000-0000-000098030000}"/>
    <cellStyle name="20% - Accent6 3 7 2 2" xfId="15065" xr:uid="{E4A1C084-318D-4F59-83BE-983064844B43}"/>
    <cellStyle name="20% - Accent6 3 7 2 3" xfId="23505" xr:uid="{53DA9C7F-A5A2-41F2-8657-E92CBB3067B3}"/>
    <cellStyle name="20% - Accent6 3 7 3" xfId="10847" xr:uid="{B3089CFD-7A7C-4494-965E-1F31C18075F8}"/>
    <cellStyle name="20% - Accent6 3 7 4" xfId="19288" xr:uid="{6ACEA7FD-F65A-4C22-9590-DF47E7A07A83}"/>
    <cellStyle name="20% - Accent6 3 8" xfId="4549" xr:uid="{00000000-0005-0000-0000-000099030000}"/>
    <cellStyle name="20% - Accent6 3 8 2" xfId="12999" xr:uid="{50AEAEC7-C44D-46C6-9BD7-A18876514CBA}"/>
    <cellStyle name="20% - Accent6 3 8 3" xfId="21439" xr:uid="{158920F6-4719-4EF2-8020-4AA4B7FF1E79}"/>
    <cellStyle name="20% - Accent6 3 9" xfId="8781" xr:uid="{2B16B76E-81CA-473C-82AB-3C96C5992A6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6585DEDA-623C-4299-A1D3-B485921A0FE5}"/>
    <cellStyle name="20% - Accent6 4 2 2 2 3" xfId="24000" xr:uid="{7B4D5B6A-95D7-44F4-915D-DF6E9CCE4472}"/>
    <cellStyle name="20% - Accent6 4 2 2 3" xfId="11342" xr:uid="{C3DEEA14-75BB-4E47-9589-F9B5DFDD1A6B}"/>
    <cellStyle name="20% - Accent6 4 2 2 4" xfId="19783" xr:uid="{EC7F7B67-F1C2-4DEA-91BA-97D9AE758F31}"/>
    <cellStyle name="20% - Accent6 4 2 3" xfId="4965" xr:uid="{00000000-0005-0000-0000-00009E030000}"/>
    <cellStyle name="20% - Accent6 4 2 3 2" xfId="13415" xr:uid="{A5FB9CB8-3C3C-4FA2-944E-A4F298EE3918}"/>
    <cellStyle name="20% - Accent6 4 2 3 3" xfId="21855" xr:uid="{9A324ECA-CF81-4BFB-A7A9-E5AFAF5AC277}"/>
    <cellStyle name="20% - Accent6 4 2 4" xfId="9197" xr:uid="{799C2238-8B33-4085-9FC1-BD8F1C2F5B4D}"/>
    <cellStyle name="20% - Accent6 4 2 5" xfId="17638" xr:uid="{2D4FDB02-A5D7-42AF-96FB-EBD5A806A7E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AE145409-339A-45AD-90C3-1A4B8F7FCEB8}"/>
    <cellStyle name="20% - Accent6 4 3 2 2 3" xfId="24413" xr:uid="{D73A3A60-97C7-4099-936A-2983A838D3FE}"/>
    <cellStyle name="20% - Accent6 4 3 2 3" xfId="11755" xr:uid="{A3CB7720-A4B4-4A7D-96AE-8B5BC59C30C9}"/>
    <cellStyle name="20% - Accent6 4 3 2 4" xfId="20196" xr:uid="{0E698DDD-AF9F-4EF1-98A8-A1C3A5733D83}"/>
    <cellStyle name="20% - Accent6 4 3 3" xfId="5378" xr:uid="{00000000-0005-0000-0000-0000A2030000}"/>
    <cellStyle name="20% - Accent6 4 3 3 2" xfId="13828" xr:uid="{63670E22-9A84-427F-9AF1-A134DA8A2F10}"/>
    <cellStyle name="20% - Accent6 4 3 3 3" xfId="22268" xr:uid="{B914EB0D-FD84-4004-B3D2-3AF42E36FC61}"/>
    <cellStyle name="20% - Accent6 4 3 4" xfId="9610" xr:uid="{2228CE72-DFE5-4E5D-A554-2702FF0170AF}"/>
    <cellStyle name="20% - Accent6 4 3 5" xfId="18051" xr:uid="{F8F51ED0-BD7F-439C-8D04-01024FA210C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91B780A7-B200-474B-9C9A-6FD287431D45}"/>
    <cellStyle name="20% - Accent6 4 4 2 2 3" xfId="24826" xr:uid="{8A24CE2D-37FE-4172-B258-20C772713AB6}"/>
    <cellStyle name="20% - Accent6 4 4 2 3" xfId="12168" xr:uid="{E12E3D5A-09CB-4BE6-8960-D658E1C78C3C}"/>
    <cellStyle name="20% - Accent6 4 4 2 4" xfId="20609" xr:uid="{BE377620-9B60-4FFE-B266-40EBE499E22D}"/>
    <cellStyle name="20% - Accent6 4 4 3" xfId="5791" xr:uid="{00000000-0005-0000-0000-0000A6030000}"/>
    <cellStyle name="20% - Accent6 4 4 3 2" xfId="14241" xr:uid="{D0512A9C-52C4-4087-A915-A6DFE6D8E0C2}"/>
    <cellStyle name="20% - Accent6 4 4 3 3" xfId="22681" xr:uid="{FE2FC4CF-6F4F-4AE5-B035-93C282221306}"/>
    <cellStyle name="20% - Accent6 4 4 4" xfId="10023" xr:uid="{F36BC392-D197-4F3B-A38A-0C7D532530AC}"/>
    <cellStyle name="20% - Accent6 4 4 5" xfId="18464" xr:uid="{C6CEE328-8798-4003-88F7-ABE4AAAB08E1}"/>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254856E6-E7E3-4577-9C7E-E7DA1DD8DD65}"/>
    <cellStyle name="20% - Accent6 4 5 2 2 3" xfId="25239" xr:uid="{6C059F68-97F6-47FE-82ED-ABF30918CCCC}"/>
    <cellStyle name="20% - Accent6 4 5 2 3" xfId="12581" xr:uid="{E4148535-6192-4AB5-A69E-6B572011B4B7}"/>
    <cellStyle name="20% - Accent6 4 5 2 4" xfId="21022" xr:uid="{0100D553-7526-46BB-980A-0F7917CB71E5}"/>
    <cellStyle name="20% - Accent6 4 5 3" xfId="6204" xr:uid="{00000000-0005-0000-0000-0000AA030000}"/>
    <cellStyle name="20% - Accent6 4 5 3 2" xfId="14654" xr:uid="{94DC7C45-1D6D-4E03-A0AA-0276A869175E}"/>
    <cellStyle name="20% - Accent6 4 5 3 3" xfId="23094" xr:uid="{82AD29F4-DB5A-45F0-A9BB-2D5723148D0A}"/>
    <cellStyle name="20% - Accent6 4 5 4" xfId="10436" xr:uid="{AA8BEF7E-BFDA-4688-B478-BACB8A16C628}"/>
    <cellStyle name="20% - Accent6 4 5 5" xfId="18877" xr:uid="{8BB7DDDB-CB4A-45C5-A79E-866C0E9C1EB0}"/>
    <cellStyle name="20% - Accent6 4 6" xfId="2311" xr:uid="{00000000-0005-0000-0000-0000AB030000}"/>
    <cellStyle name="20% - Accent6 4 6 2" xfId="6617" xr:uid="{00000000-0005-0000-0000-0000AC030000}"/>
    <cellStyle name="20% - Accent6 4 6 2 2" xfId="15067" xr:uid="{284CD451-223F-4CDD-BA1A-83E405A6D64B}"/>
    <cellStyle name="20% - Accent6 4 6 2 3" xfId="23507" xr:uid="{690388DE-5B9E-4035-9594-1A8AF52BF6C2}"/>
    <cellStyle name="20% - Accent6 4 6 3" xfId="10849" xr:uid="{D78C63D4-CD01-4BD8-8065-70C18C4A96F4}"/>
    <cellStyle name="20% - Accent6 4 6 4" xfId="19290" xr:uid="{E56FB389-9D07-411E-89B4-3F1532D8C432}"/>
    <cellStyle name="20% - Accent6 4 7" xfId="4551" xr:uid="{00000000-0005-0000-0000-0000AD030000}"/>
    <cellStyle name="20% - Accent6 4 7 2" xfId="13001" xr:uid="{51744F40-28E3-443F-9E94-F4F18EDC028E}"/>
    <cellStyle name="20% - Accent6 4 7 3" xfId="21441" xr:uid="{D3128B4A-0714-4E5F-AC2B-1A809AAB7F3B}"/>
    <cellStyle name="20% - Accent6 4 8" xfId="8783" xr:uid="{911BA924-D242-41D9-9F0B-34F88FC2D413}"/>
    <cellStyle name="20% - Accent6 4 9" xfId="17224" xr:uid="{5CBD9ADA-1DCC-422F-B52F-A825AB7C4C10}"/>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6FF57F33-6D43-4A83-8308-EDD36A89FE4C}"/>
    <cellStyle name="20% - Accent6 5 2 2 3" xfId="23993" xr:uid="{81B135C3-D2FB-4859-94B9-4345D32DDAE1}"/>
    <cellStyle name="20% - Accent6 5 2 3" xfId="11335" xr:uid="{6D2AAD0E-5000-4E6F-8D4E-433E9C76E52C}"/>
    <cellStyle name="20% - Accent6 5 2 4" xfId="19776" xr:uid="{BB92A8C0-D425-4C9A-A112-2667F5E65FD4}"/>
    <cellStyle name="20% - Accent6 5 3" xfId="4958" xr:uid="{00000000-0005-0000-0000-0000B1030000}"/>
    <cellStyle name="20% - Accent6 5 3 2" xfId="13408" xr:uid="{9F7E2136-2DD0-4E89-B49F-6BEDF059F781}"/>
    <cellStyle name="20% - Accent6 5 3 3" xfId="21848" xr:uid="{F68F9CC5-F5BB-416C-AD0C-C3CB1CC6191F}"/>
    <cellStyle name="20% - Accent6 5 4" xfId="9190" xr:uid="{A9ECE3C0-7D44-402D-8072-40A8D539B15F}"/>
    <cellStyle name="20% - Accent6 5 5" xfId="17631" xr:uid="{C8006263-627E-40E9-820E-C1AFF9F76FAF}"/>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3FD470DD-A37F-42B8-AF89-A1643F7AEF34}"/>
    <cellStyle name="20% - Accent6 6 2 2 3" xfId="24406" xr:uid="{FE678318-99E8-4A3D-919A-A44D68CB3E97}"/>
    <cellStyle name="20% - Accent6 6 2 3" xfId="11748" xr:uid="{58B66778-7FF8-4DF2-97B0-E46DFE18E5A7}"/>
    <cellStyle name="20% - Accent6 6 2 4" xfId="20189" xr:uid="{CB88B3C4-875D-491F-B80E-7E5640ABA6D1}"/>
    <cellStyle name="20% - Accent6 6 3" xfId="5371" xr:uid="{00000000-0005-0000-0000-0000B5030000}"/>
    <cellStyle name="20% - Accent6 6 3 2" xfId="13821" xr:uid="{4C8DB043-34BB-4B99-AC3C-295C954B4CB6}"/>
    <cellStyle name="20% - Accent6 6 3 3" xfId="22261" xr:uid="{1FDC5D68-987A-4B0F-B419-784E3BB8CD06}"/>
    <cellStyle name="20% - Accent6 6 4" xfId="9603" xr:uid="{E52B9349-335C-453E-A7A9-B4414106CB8D}"/>
    <cellStyle name="20% - Accent6 6 5" xfId="18044" xr:uid="{B2D5D402-9E08-48FE-9BD4-B84A9590E54E}"/>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7DC466FF-AF21-4C56-AE9B-0013BD1DDA49}"/>
    <cellStyle name="20% - Accent6 7 2 2 3" xfId="24819" xr:uid="{BC1C1B13-68EB-4A91-9434-59670AB651EF}"/>
    <cellStyle name="20% - Accent6 7 2 3" xfId="12161" xr:uid="{54AFAD99-7D5A-4347-BDDE-9FB4C08D0FE9}"/>
    <cellStyle name="20% - Accent6 7 2 4" xfId="20602" xr:uid="{172894A3-EDC2-4827-B603-7582C3887143}"/>
    <cellStyle name="20% - Accent6 7 3" xfId="5784" xr:uid="{00000000-0005-0000-0000-0000B9030000}"/>
    <cellStyle name="20% - Accent6 7 3 2" xfId="14234" xr:uid="{DACB6928-D17D-4E56-957B-A78422F816AF}"/>
    <cellStyle name="20% - Accent6 7 3 3" xfId="22674" xr:uid="{74E74712-037A-44CB-A297-8A25BD4587FF}"/>
    <cellStyle name="20% - Accent6 7 4" xfId="10016" xr:uid="{893E44CC-AED3-403B-B640-F6ADEEF90098}"/>
    <cellStyle name="20% - Accent6 7 5" xfId="18457" xr:uid="{5344E9BB-2D1F-4FF5-BD4D-F9EC7C0D0088}"/>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1E0FC005-8E93-4DC2-A51B-BB1A2FDA2615}"/>
    <cellStyle name="20% - Accent6 8 2 2 3" xfId="25232" xr:uid="{9F2B2BC9-4E8A-4A44-817A-AFB35BA0122B}"/>
    <cellStyle name="20% - Accent6 8 2 3" xfId="12574" xr:uid="{F351A547-01F5-4AD2-B0C0-84FD5FFDE4D2}"/>
    <cellStyle name="20% - Accent6 8 2 4" xfId="21015" xr:uid="{BDC721C2-342A-4065-9D81-14FA3846DF73}"/>
    <cellStyle name="20% - Accent6 8 3" xfId="6197" xr:uid="{00000000-0005-0000-0000-0000BD030000}"/>
    <cellStyle name="20% - Accent6 8 3 2" xfId="14647" xr:uid="{0030444D-0F34-4A43-90BB-844001377114}"/>
    <cellStyle name="20% - Accent6 8 3 3" xfId="23087" xr:uid="{EBAF0047-117E-46FE-9FDF-D1725F47F2C5}"/>
    <cellStyle name="20% - Accent6 8 4" xfId="10429" xr:uid="{6218F60F-AE38-41A5-A5CB-22E410DF6904}"/>
    <cellStyle name="20% - Accent6 8 5" xfId="18870" xr:uid="{E054415E-F107-412F-AD5D-9E355C0E79E4}"/>
    <cellStyle name="20% - Accent6 9" xfId="2304" xr:uid="{00000000-0005-0000-0000-0000BE030000}"/>
    <cellStyle name="20% - Accent6 9 2" xfId="6610" xr:uid="{00000000-0005-0000-0000-0000BF030000}"/>
    <cellStyle name="20% - Accent6 9 2 2" xfId="15060" xr:uid="{6B5D206D-1018-47D2-B4AC-CF9D188F9D58}"/>
    <cellStyle name="20% - Accent6 9 2 3" xfId="23500" xr:uid="{45183B23-60D5-4867-AA62-F7059BF8889D}"/>
    <cellStyle name="20% - Accent6 9 3" xfId="10842" xr:uid="{99581A5E-16C3-4AFD-89B3-8FD77009E406}"/>
    <cellStyle name="20% - Accent6 9 4" xfId="19283" xr:uid="{9E2E25C3-FFB4-4982-9A07-2E48A5ECD522}"/>
    <cellStyle name="40% - Accent1" xfId="49" builtinId="31" customBuiltin="1"/>
    <cellStyle name="40% - Accent1 10" xfId="4552" xr:uid="{00000000-0005-0000-0000-0000C1030000}"/>
    <cellStyle name="40% - Accent1 10 2" xfId="13002" xr:uid="{880B8931-0383-47D5-A49B-602B1084742E}"/>
    <cellStyle name="40% - Accent1 10 3" xfId="21442" xr:uid="{3CBBC0E6-C364-4FCB-9654-37DDE57A99D5}"/>
    <cellStyle name="40% - Accent1 11" xfId="8784" xr:uid="{719B8EE4-6FFE-45E1-B5E5-9EF9F95061B8}"/>
    <cellStyle name="40% - Accent1 12" xfId="17225" xr:uid="{4B368484-C61E-4EEB-82E9-37576813319A}"/>
    <cellStyle name="40% - Accent1 2" xfId="50" xr:uid="{00000000-0005-0000-0000-0000C2030000}"/>
    <cellStyle name="40% - Accent1 2 10" xfId="8785" xr:uid="{E825DC7A-D6D0-49C8-80D3-F81D016E29E4}"/>
    <cellStyle name="40% - Accent1 2 11" xfId="17226" xr:uid="{1E3FA088-629D-4301-941F-835CD4BFF297}"/>
    <cellStyle name="40% - Accent1 2 2" xfId="51" xr:uid="{00000000-0005-0000-0000-0000C3030000}"/>
    <cellStyle name="40% - Accent1 2 2 10" xfId="17227" xr:uid="{79EB0F8D-8A38-47DB-8D5C-0287655F795F}"/>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9846B0F0-B948-45CC-B06D-74E45C5E150E}"/>
    <cellStyle name="40% - Accent1 2 2 2 2 2 2 3" xfId="24004" xr:uid="{2A93A0F3-CC0C-4468-800B-5625E3D09763}"/>
    <cellStyle name="40% - Accent1 2 2 2 2 2 3" xfId="11346" xr:uid="{32335ECE-3295-4297-872B-56A7C91A6B6F}"/>
    <cellStyle name="40% - Accent1 2 2 2 2 2 4" xfId="19787" xr:uid="{43A135FD-77DC-418D-A2E9-A57038DEC335}"/>
    <cellStyle name="40% - Accent1 2 2 2 2 3" xfId="4969" xr:uid="{00000000-0005-0000-0000-0000C8030000}"/>
    <cellStyle name="40% - Accent1 2 2 2 2 3 2" xfId="13419" xr:uid="{1D2F5C3F-88B8-4269-A31A-2B31A28683BB}"/>
    <cellStyle name="40% - Accent1 2 2 2 2 3 3" xfId="21859" xr:uid="{F4477F30-B785-47EF-8F76-2645D2167475}"/>
    <cellStyle name="40% - Accent1 2 2 2 2 4" xfId="9201" xr:uid="{AF2F9625-B65B-45C9-A7D0-B64309A78F2A}"/>
    <cellStyle name="40% - Accent1 2 2 2 2 5" xfId="17642" xr:uid="{CD2343E2-0060-46B7-93B1-CE52BB01224D}"/>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BACDFD47-5B89-435E-B7D2-1DB4A9516DF1}"/>
    <cellStyle name="40% - Accent1 2 2 2 3 2 2 3" xfId="24417" xr:uid="{FECFA247-ACC1-4486-897B-57B9C1207F4D}"/>
    <cellStyle name="40% - Accent1 2 2 2 3 2 3" xfId="11759" xr:uid="{79358293-1A6E-4E6C-AEF9-AA02D6FF0867}"/>
    <cellStyle name="40% - Accent1 2 2 2 3 2 4" xfId="20200" xr:uid="{E883AA40-CF07-424F-BA3E-562F6803D253}"/>
    <cellStyle name="40% - Accent1 2 2 2 3 3" xfId="5382" xr:uid="{00000000-0005-0000-0000-0000CC030000}"/>
    <cellStyle name="40% - Accent1 2 2 2 3 3 2" xfId="13832" xr:uid="{94E31381-0EB8-4796-B51F-3EED814E62F9}"/>
    <cellStyle name="40% - Accent1 2 2 2 3 3 3" xfId="22272" xr:uid="{D02E40AD-E1EF-4605-A93C-52C0A5E8B820}"/>
    <cellStyle name="40% - Accent1 2 2 2 3 4" xfId="9614" xr:uid="{CD823E59-FD51-43A0-83F9-26910DBD4E6D}"/>
    <cellStyle name="40% - Accent1 2 2 2 3 5" xfId="18055" xr:uid="{95A26292-1D0C-4906-9629-C12774ABC9C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F416B8ED-596A-462E-9C97-B51131AD7F10}"/>
    <cellStyle name="40% - Accent1 2 2 2 4 2 2 3" xfId="24830" xr:uid="{C11C4B44-1B88-4112-9238-1B45B6D25931}"/>
    <cellStyle name="40% - Accent1 2 2 2 4 2 3" xfId="12172" xr:uid="{0A6AFB30-F47A-41E2-BE8D-7A7FAC835B2A}"/>
    <cellStyle name="40% - Accent1 2 2 2 4 2 4" xfId="20613" xr:uid="{E6D28CE8-3197-4C06-96AF-BFA79162399F}"/>
    <cellStyle name="40% - Accent1 2 2 2 4 3" xfId="5795" xr:uid="{00000000-0005-0000-0000-0000D0030000}"/>
    <cellStyle name="40% - Accent1 2 2 2 4 3 2" xfId="14245" xr:uid="{C9186F7A-1138-4780-96EA-D15FBF04C385}"/>
    <cellStyle name="40% - Accent1 2 2 2 4 3 3" xfId="22685" xr:uid="{D7E5D80E-80CC-43D9-BF43-569290C489AE}"/>
    <cellStyle name="40% - Accent1 2 2 2 4 4" xfId="10027" xr:uid="{02F30EB6-3FE1-48B8-B688-1A259F0EE06F}"/>
    <cellStyle name="40% - Accent1 2 2 2 4 5" xfId="18468" xr:uid="{27CC3147-C170-429E-9A44-1F212159CDAA}"/>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024E0B56-3134-4B3C-81B1-CB4A6778BF1B}"/>
    <cellStyle name="40% - Accent1 2 2 2 5 2 2 3" xfId="25243" xr:uid="{B7472E03-D989-4E71-94B3-18A8574A13F9}"/>
    <cellStyle name="40% - Accent1 2 2 2 5 2 3" xfId="12585" xr:uid="{381AC3B1-41DF-4831-A465-C4E3E6C60DE2}"/>
    <cellStyle name="40% - Accent1 2 2 2 5 2 4" xfId="21026" xr:uid="{BC1A5DAB-2E79-49DE-A43C-065BAC3C2711}"/>
    <cellStyle name="40% - Accent1 2 2 2 5 3" xfId="6208" xr:uid="{00000000-0005-0000-0000-0000D4030000}"/>
    <cellStyle name="40% - Accent1 2 2 2 5 3 2" xfId="14658" xr:uid="{5EA681D8-4B3B-4CED-804E-DE4D89355F1E}"/>
    <cellStyle name="40% - Accent1 2 2 2 5 3 3" xfId="23098" xr:uid="{6B4DA39B-729B-4C55-BF9D-F6D14125DAC4}"/>
    <cellStyle name="40% - Accent1 2 2 2 5 4" xfId="10440" xr:uid="{8F652682-2BC7-4A4E-8251-B12D4661C319}"/>
    <cellStyle name="40% - Accent1 2 2 2 5 5" xfId="18881" xr:uid="{F6CCFBDA-4D6E-4EDD-9EBF-B9D07848414B}"/>
    <cellStyle name="40% - Accent1 2 2 2 6" xfId="2315" xr:uid="{00000000-0005-0000-0000-0000D5030000}"/>
    <cellStyle name="40% - Accent1 2 2 2 6 2" xfId="6621" xr:uid="{00000000-0005-0000-0000-0000D6030000}"/>
    <cellStyle name="40% - Accent1 2 2 2 6 2 2" xfId="15071" xr:uid="{EEFC8D43-5F82-45B5-A45E-212314BF0F0F}"/>
    <cellStyle name="40% - Accent1 2 2 2 6 2 3" xfId="23511" xr:uid="{5D3A7A90-8D34-45AD-933D-043B9B0F842C}"/>
    <cellStyle name="40% - Accent1 2 2 2 6 3" xfId="10853" xr:uid="{4153481A-9597-4547-804E-861373568A85}"/>
    <cellStyle name="40% - Accent1 2 2 2 6 4" xfId="19294" xr:uid="{B3049069-D2C5-4E6C-A844-8A11CC2E9DBC}"/>
    <cellStyle name="40% - Accent1 2 2 2 7" xfId="4555" xr:uid="{00000000-0005-0000-0000-0000D7030000}"/>
    <cellStyle name="40% - Accent1 2 2 2 7 2" xfId="13005" xr:uid="{168FFF02-7D40-4F89-9727-EBE41788368D}"/>
    <cellStyle name="40% - Accent1 2 2 2 7 3" xfId="21445" xr:uid="{2683D5A6-E5CD-455E-9FEF-A84DA6133732}"/>
    <cellStyle name="40% - Accent1 2 2 2 8" xfId="8787" xr:uid="{7307E6F8-E8B0-42FA-AC5D-4AE158139173}"/>
    <cellStyle name="40% - Accent1 2 2 2 9" xfId="17228" xr:uid="{9B84D993-0354-4FD0-A7D7-243465480466}"/>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7FB8DB59-8486-4F74-B956-65CF4FC80613}"/>
    <cellStyle name="40% - Accent1 2 2 3 2 2 3" xfId="24003" xr:uid="{E5010A24-9DD4-4505-A345-012DCA94198F}"/>
    <cellStyle name="40% - Accent1 2 2 3 2 3" xfId="11345" xr:uid="{29318BC7-01F1-4AA5-A28F-A2686442A8C8}"/>
    <cellStyle name="40% - Accent1 2 2 3 2 4" xfId="19786" xr:uid="{892BF700-431B-444D-866D-EA2C9A4FC615}"/>
    <cellStyle name="40% - Accent1 2 2 3 3" xfId="4968" xr:uid="{00000000-0005-0000-0000-0000DB030000}"/>
    <cellStyle name="40% - Accent1 2 2 3 3 2" xfId="13418" xr:uid="{DBCBF001-7EF8-4ED2-A6C3-5B286AD33154}"/>
    <cellStyle name="40% - Accent1 2 2 3 3 3" xfId="21858" xr:uid="{CC40D7F9-3852-4183-946B-322321BEB8A3}"/>
    <cellStyle name="40% - Accent1 2 2 3 4" xfId="9200" xr:uid="{79C92C97-7234-4AFE-A1B9-6E8635037869}"/>
    <cellStyle name="40% - Accent1 2 2 3 5" xfId="17641" xr:uid="{2EA70653-005C-4F18-AB75-EAC27449FA2B}"/>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64F651D8-BAF5-4B49-A412-35FF2D2E42C2}"/>
    <cellStyle name="40% - Accent1 2 2 4 2 2 3" xfId="24416" xr:uid="{13628D49-E624-4A23-BDB5-8D440C4728E3}"/>
    <cellStyle name="40% - Accent1 2 2 4 2 3" xfId="11758" xr:uid="{AE5F8F41-D608-47A0-9F24-6A3AB3EE9EBC}"/>
    <cellStyle name="40% - Accent1 2 2 4 2 4" xfId="20199" xr:uid="{B4CF4A4D-682C-46EA-8E94-338502347209}"/>
    <cellStyle name="40% - Accent1 2 2 4 3" xfId="5381" xr:uid="{00000000-0005-0000-0000-0000DF030000}"/>
    <cellStyle name="40% - Accent1 2 2 4 3 2" xfId="13831" xr:uid="{BC7ECD71-E5F9-40F9-A694-94A9D1C9D2DD}"/>
    <cellStyle name="40% - Accent1 2 2 4 3 3" xfId="22271" xr:uid="{48426601-7C6A-41F0-ABD9-EB0F64A2E432}"/>
    <cellStyle name="40% - Accent1 2 2 4 4" xfId="9613" xr:uid="{763AD039-801F-4F8A-8E8F-FDB1F64459D8}"/>
    <cellStyle name="40% - Accent1 2 2 4 5" xfId="18054" xr:uid="{5E3654D5-7A6E-4DDB-ABAE-9F7CD323354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196628AB-1DE0-40E9-AA94-049FFC26D2AD}"/>
    <cellStyle name="40% - Accent1 2 2 5 2 2 3" xfId="24829" xr:uid="{DB8F77B8-F07A-4317-8947-1743D74F9483}"/>
    <cellStyle name="40% - Accent1 2 2 5 2 3" xfId="12171" xr:uid="{61302924-093C-42B9-A248-F5869071248D}"/>
    <cellStyle name="40% - Accent1 2 2 5 2 4" xfId="20612" xr:uid="{FCE30961-4655-4AFC-871A-8AB41BBD57CA}"/>
    <cellStyle name="40% - Accent1 2 2 5 3" xfId="5794" xr:uid="{00000000-0005-0000-0000-0000E3030000}"/>
    <cellStyle name="40% - Accent1 2 2 5 3 2" xfId="14244" xr:uid="{EBEDFCA5-A1EE-44F7-8D3D-DEB597D21D59}"/>
    <cellStyle name="40% - Accent1 2 2 5 3 3" xfId="22684" xr:uid="{88D3EA95-B7C9-4755-B504-5959B81DCFFD}"/>
    <cellStyle name="40% - Accent1 2 2 5 4" xfId="10026" xr:uid="{7E130F69-7142-4449-A53C-29296D47EA16}"/>
    <cellStyle name="40% - Accent1 2 2 5 5" xfId="18467" xr:uid="{B532A676-E902-4AC6-B8F5-6610A0A7231C}"/>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C7600D99-07E7-4145-817C-C06257CA2EC4}"/>
    <cellStyle name="40% - Accent1 2 2 6 2 2 3" xfId="25242" xr:uid="{7A0EB25B-B44E-45FD-BB02-C1B11BD5EEEB}"/>
    <cellStyle name="40% - Accent1 2 2 6 2 3" xfId="12584" xr:uid="{DCEECB33-F46D-494A-B113-279DD88EB52D}"/>
    <cellStyle name="40% - Accent1 2 2 6 2 4" xfId="21025" xr:uid="{D99CB84B-A038-49BD-BD6F-B904CF54F3CD}"/>
    <cellStyle name="40% - Accent1 2 2 6 3" xfId="6207" xr:uid="{00000000-0005-0000-0000-0000E7030000}"/>
    <cellStyle name="40% - Accent1 2 2 6 3 2" xfId="14657" xr:uid="{A8C17EE4-31B2-41BC-880C-C6C54491DDDE}"/>
    <cellStyle name="40% - Accent1 2 2 6 3 3" xfId="23097" xr:uid="{301D0EA4-85EA-4ED1-81A9-3262863EBC37}"/>
    <cellStyle name="40% - Accent1 2 2 6 4" xfId="10439" xr:uid="{54267472-28FF-476A-BF28-1F7EBBBD6517}"/>
    <cellStyle name="40% - Accent1 2 2 6 5" xfId="18880" xr:uid="{8E57C8BB-381F-4057-8F2A-BA492FB24A35}"/>
    <cellStyle name="40% - Accent1 2 2 7" xfId="2314" xr:uid="{00000000-0005-0000-0000-0000E8030000}"/>
    <cellStyle name="40% - Accent1 2 2 7 2" xfId="6620" xr:uid="{00000000-0005-0000-0000-0000E9030000}"/>
    <cellStyle name="40% - Accent1 2 2 7 2 2" xfId="15070" xr:uid="{F7A0E631-4C1C-4DD4-A410-A09945528ABA}"/>
    <cellStyle name="40% - Accent1 2 2 7 2 3" xfId="23510" xr:uid="{C7C70C23-F38A-4892-8E59-C08EF8081E17}"/>
    <cellStyle name="40% - Accent1 2 2 7 3" xfId="10852" xr:uid="{C22CC96D-C701-4DF4-9978-87DEF09103E2}"/>
    <cellStyle name="40% - Accent1 2 2 7 4" xfId="19293" xr:uid="{6AE8301B-34DC-420D-BB14-C201CEA04ECC}"/>
    <cellStyle name="40% - Accent1 2 2 8" xfId="4554" xr:uid="{00000000-0005-0000-0000-0000EA030000}"/>
    <cellStyle name="40% - Accent1 2 2 8 2" xfId="13004" xr:uid="{C669FF87-9FC8-431F-A155-75CD84622BB5}"/>
    <cellStyle name="40% - Accent1 2 2 8 3" xfId="21444" xr:uid="{D168D3D3-86E6-4F8B-9B59-577DA464A0E5}"/>
    <cellStyle name="40% - Accent1 2 2 9" xfId="8786" xr:uid="{4D862360-1C27-4253-ADFD-AEB98E4844D3}"/>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E3F9221D-C5B9-4377-8F38-86C39F82BA4F}"/>
    <cellStyle name="40% - Accent1 2 3 2 2 2 3" xfId="24005" xr:uid="{EA741523-D1C1-41AC-A2CD-09831E34DE24}"/>
    <cellStyle name="40% - Accent1 2 3 2 2 3" xfId="11347" xr:uid="{7E4FDB53-D960-4B59-BE33-170188665F5F}"/>
    <cellStyle name="40% - Accent1 2 3 2 2 4" xfId="19788" xr:uid="{65CDCA7A-AC81-4C8F-9107-1B7A693A3B7C}"/>
    <cellStyle name="40% - Accent1 2 3 2 3" xfId="4970" xr:uid="{00000000-0005-0000-0000-0000EF030000}"/>
    <cellStyle name="40% - Accent1 2 3 2 3 2" xfId="13420" xr:uid="{92AE02BB-D6E2-4DE5-9F08-12CB03488F4E}"/>
    <cellStyle name="40% - Accent1 2 3 2 3 3" xfId="21860" xr:uid="{0CCE9F5F-1CD1-47C9-ACF7-2EEE4D3BFF8B}"/>
    <cellStyle name="40% - Accent1 2 3 2 4" xfId="9202" xr:uid="{E2BC948D-C611-4CDA-B659-302552B09FC3}"/>
    <cellStyle name="40% - Accent1 2 3 2 5" xfId="17643" xr:uid="{452D9CFC-27B5-428A-8ACF-59DEC0F0852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E64349ED-86F8-40F3-BC61-6902314F1F09}"/>
    <cellStyle name="40% - Accent1 2 3 3 2 2 3" xfId="24418" xr:uid="{E99F9EF5-10FF-422A-85E3-9EC2DEF56EF0}"/>
    <cellStyle name="40% - Accent1 2 3 3 2 3" xfId="11760" xr:uid="{D1594183-29F6-4664-B66B-4CF5ACE64537}"/>
    <cellStyle name="40% - Accent1 2 3 3 2 4" xfId="20201" xr:uid="{DF5BCF5E-E6B3-4B1B-BFD8-5B0CF3011137}"/>
    <cellStyle name="40% - Accent1 2 3 3 3" xfId="5383" xr:uid="{00000000-0005-0000-0000-0000F3030000}"/>
    <cellStyle name="40% - Accent1 2 3 3 3 2" xfId="13833" xr:uid="{0BA642CD-0973-4798-A517-18CA23F17C82}"/>
    <cellStyle name="40% - Accent1 2 3 3 3 3" xfId="22273" xr:uid="{0AA02E5C-C4DF-44A8-BD8C-0379BA2335DC}"/>
    <cellStyle name="40% - Accent1 2 3 3 4" xfId="9615" xr:uid="{F885BF55-F41C-4805-A76D-7E7BAA0E2FA8}"/>
    <cellStyle name="40% - Accent1 2 3 3 5" xfId="18056" xr:uid="{E7B9F1F7-E8E2-4DCF-B1F5-44E7BD82F07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DD710FDD-74E1-4EAC-88E8-84BD7BBBDFD5}"/>
    <cellStyle name="40% - Accent1 2 3 4 2 2 3" xfId="24831" xr:uid="{B4940610-5B48-4F29-904A-403F48E4A082}"/>
    <cellStyle name="40% - Accent1 2 3 4 2 3" xfId="12173" xr:uid="{80415DB9-D6EF-4D25-8948-18B0164765BC}"/>
    <cellStyle name="40% - Accent1 2 3 4 2 4" xfId="20614" xr:uid="{A3EDD80D-6602-416F-9E31-9B34FA3DE06E}"/>
    <cellStyle name="40% - Accent1 2 3 4 3" xfId="5796" xr:uid="{00000000-0005-0000-0000-0000F7030000}"/>
    <cellStyle name="40% - Accent1 2 3 4 3 2" xfId="14246" xr:uid="{04AF44A0-2EC7-48EF-980B-BEA837075A71}"/>
    <cellStyle name="40% - Accent1 2 3 4 3 3" xfId="22686" xr:uid="{F07391B5-CA59-4629-A434-B10D21FD197B}"/>
    <cellStyle name="40% - Accent1 2 3 4 4" xfId="10028" xr:uid="{E50204CC-5340-484E-B082-AD275F826184}"/>
    <cellStyle name="40% - Accent1 2 3 4 5" xfId="18469" xr:uid="{B0A39DC6-6F3F-417C-B890-AF75373EB41D}"/>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74C85121-C89B-4AE2-B9A2-9F51813F96E1}"/>
    <cellStyle name="40% - Accent1 2 3 5 2 2 3" xfId="25244" xr:uid="{AD2A595D-D752-4182-BE52-5DE785D731C3}"/>
    <cellStyle name="40% - Accent1 2 3 5 2 3" xfId="12586" xr:uid="{85476427-2E66-429F-9440-BDD63757D489}"/>
    <cellStyle name="40% - Accent1 2 3 5 2 4" xfId="21027" xr:uid="{F0688255-3E2A-4177-9AE5-7325F7698A9A}"/>
    <cellStyle name="40% - Accent1 2 3 5 3" xfId="6209" xr:uid="{00000000-0005-0000-0000-0000FB030000}"/>
    <cellStyle name="40% - Accent1 2 3 5 3 2" xfId="14659" xr:uid="{745F985C-04BD-4159-9770-A5D64E6B6417}"/>
    <cellStyle name="40% - Accent1 2 3 5 3 3" xfId="23099" xr:uid="{938134D7-1E81-41B5-9DB0-16716ED5BC5E}"/>
    <cellStyle name="40% - Accent1 2 3 5 4" xfId="10441" xr:uid="{EDD51F69-DADE-447F-B172-E0B9952D2FC5}"/>
    <cellStyle name="40% - Accent1 2 3 5 5" xfId="18882" xr:uid="{453AAF74-C3CD-4186-832D-917A519D961A}"/>
    <cellStyle name="40% - Accent1 2 3 6" xfId="2316" xr:uid="{00000000-0005-0000-0000-0000FC030000}"/>
    <cellStyle name="40% - Accent1 2 3 6 2" xfId="6622" xr:uid="{00000000-0005-0000-0000-0000FD030000}"/>
    <cellStyle name="40% - Accent1 2 3 6 2 2" xfId="15072" xr:uid="{0DA9B6A7-BFCB-48CA-BCC5-1DA257A76B07}"/>
    <cellStyle name="40% - Accent1 2 3 6 2 3" xfId="23512" xr:uid="{21263D8F-A3A7-412A-B9AB-036CD2B059ED}"/>
    <cellStyle name="40% - Accent1 2 3 6 3" xfId="10854" xr:uid="{587A8726-A848-4460-96CC-035B37D0CD4C}"/>
    <cellStyle name="40% - Accent1 2 3 6 4" xfId="19295" xr:uid="{385413F7-48AA-4511-AE4C-55587985A760}"/>
    <cellStyle name="40% - Accent1 2 3 7" xfId="4556" xr:uid="{00000000-0005-0000-0000-0000FE030000}"/>
    <cellStyle name="40% - Accent1 2 3 7 2" xfId="13006" xr:uid="{76BE3F63-A0B5-4B86-9446-21C3A64DC31C}"/>
    <cellStyle name="40% - Accent1 2 3 7 3" xfId="21446" xr:uid="{9A907ACE-32CB-41ED-A338-FD592FE5F9A5}"/>
    <cellStyle name="40% - Accent1 2 3 8" xfId="8788" xr:uid="{F6DF6E38-DAF1-41C5-A009-53790B69B865}"/>
    <cellStyle name="40% - Accent1 2 3 9" xfId="17229" xr:uid="{E6E40BBA-F714-48F5-9DA6-47CA6AD43319}"/>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21621751-D106-4B6D-A882-E57315F345E9}"/>
    <cellStyle name="40% - Accent1 2 4 2 2 3" xfId="24002" xr:uid="{6FBE6C53-45DD-42C9-B623-83E1F7E7C248}"/>
    <cellStyle name="40% - Accent1 2 4 2 3" xfId="11344" xr:uid="{A6F93E48-B6E6-4B49-8336-A9915BD6E6DC}"/>
    <cellStyle name="40% - Accent1 2 4 2 4" xfId="19785" xr:uid="{BAABA7EC-916B-4F78-92AB-6C05C0935B9E}"/>
    <cellStyle name="40% - Accent1 2 4 3" xfId="4967" xr:uid="{00000000-0005-0000-0000-000002040000}"/>
    <cellStyle name="40% - Accent1 2 4 3 2" xfId="13417" xr:uid="{4A2CFE2A-D326-4CAD-90E9-6322CABFB678}"/>
    <cellStyle name="40% - Accent1 2 4 3 3" xfId="21857" xr:uid="{6879BFC3-8671-485D-BC6F-4B7E940CDB69}"/>
    <cellStyle name="40% - Accent1 2 4 4" xfId="9199" xr:uid="{89E57CEA-820F-48D1-8127-A6DA73B9E947}"/>
    <cellStyle name="40% - Accent1 2 4 5" xfId="17640" xr:uid="{EFBCF286-FE21-41C3-811F-61B62300BEB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0C9F2FD6-0AEE-44F8-A93F-1161C7188D25}"/>
    <cellStyle name="40% - Accent1 2 5 2 2 3" xfId="24415" xr:uid="{708757C6-AFCD-4F6D-A842-A10DB34DC0F4}"/>
    <cellStyle name="40% - Accent1 2 5 2 3" xfId="11757" xr:uid="{7167F4DA-6AF0-4C9D-950E-895D99345AD8}"/>
    <cellStyle name="40% - Accent1 2 5 2 4" xfId="20198" xr:uid="{749F468B-B672-427C-971D-7DBA3893E9C9}"/>
    <cellStyle name="40% - Accent1 2 5 3" xfId="5380" xr:uid="{00000000-0005-0000-0000-000006040000}"/>
    <cellStyle name="40% - Accent1 2 5 3 2" xfId="13830" xr:uid="{89ABEFB1-2E88-4BF0-B328-BA2BD1538DD3}"/>
    <cellStyle name="40% - Accent1 2 5 3 3" xfId="22270" xr:uid="{9707210C-385D-4F21-8B75-128DFDA7F87F}"/>
    <cellStyle name="40% - Accent1 2 5 4" xfId="9612" xr:uid="{4E340CE0-C36B-49CA-BEF2-071CDAE49F18}"/>
    <cellStyle name="40% - Accent1 2 5 5" xfId="18053" xr:uid="{CABDA5DB-5D28-4A01-8DBB-BB8816ED9036}"/>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4B46BFFE-4E53-4F7C-81C2-BDAFCB278DDD}"/>
    <cellStyle name="40% - Accent1 2 6 2 2 3" xfId="24828" xr:uid="{05B54345-C033-45B3-B018-90242AF00820}"/>
    <cellStyle name="40% - Accent1 2 6 2 3" xfId="12170" xr:uid="{E4A6E8DA-6259-481D-9F0D-53335E036B03}"/>
    <cellStyle name="40% - Accent1 2 6 2 4" xfId="20611" xr:uid="{6C95FD40-C119-4CF2-9B31-CA3B58D28B3B}"/>
    <cellStyle name="40% - Accent1 2 6 3" xfId="5793" xr:uid="{00000000-0005-0000-0000-00000A040000}"/>
    <cellStyle name="40% - Accent1 2 6 3 2" xfId="14243" xr:uid="{D54D0950-4565-4022-8462-C520D585E39D}"/>
    <cellStyle name="40% - Accent1 2 6 3 3" xfId="22683" xr:uid="{7922F78E-F1FC-4BC6-BA44-C69E442C51E0}"/>
    <cellStyle name="40% - Accent1 2 6 4" xfId="10025" xr:uid="{55DAD3B3-9CC8-4CC1-88D5-1933D358E988}"/>
    <cellStyle name="40% - Accent1 2 6 5" xfId="18466" xr:uid="{FF385E03-948E-4D15-B19F-349564CED0ED}"/>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E599A975-5E60-4977-BE93-9B988D02EF0F}"/>
    <cellStyle name="40% - Accent1 2 7 2 2 3" xfId="25241" xr:uid="{B07FD226-6DE8-4577-9675-A97D1EF10FAC}"/>
    <cellStyle name="40% - Accent1 2 7 2 3" xfId="12583" xr:uid="{B65C1C52-6F2F-44AB-BBBF-6681550B413D}"/>
    <cellStyle name="40% - Accent1 2 7 2 4" xfId="21024" xr:uid="{AB1E6055-ECC8-445E-A5E0-1FB7BA576F64}"/>
    <cellStyle name="40% - Accent1 2 7 3" xfId="6206" xr:uid="{00000000-0005-0000-0000-00000E040000}"/>
    <cellStyle name="40% - Accent1 2 7 3 2" xfId="14656" xr:uid="{FDF3F4AC-2292-465F-927A-F0E7BC7E89F8}"/>
    <cellStyle name="40% - Accent1 2 7 3 3" xfId="23096" xr:uid="{0AB0A6AE-9C85-42CB-86CD-A983A96C5B47}"/>
    <cellStyle name="40% - Accent1 2 7 4" xfId="10438" xr:uid="{595971C1-5361-4FE9-AD7A-83DB3B61A3D6}"/>
    <cellStyle name="40% - Accent1 2 7 5" xfId="18879" xr:uid="{93F9E5CD-1B0C-4126-ABF7-4CACC418B5A3}"/>
    <cellStyle name="40% - Accent1 2 8" xfId="2313" xr:uid="{00000000-0005-0000-0000-00000F040000}"/>
    <cellStyle name="40% - Accent1 2 8 2" xfId="6619" xr:uid="{00000000-0005-0000-0000-000010040000}"/>
    <cellStyle name="40% - Accent1 2 8 2 2" xfId="15069" xr:uid="{9F0B3AED-139C-4D6E-9231-D296A1C8DD2D}"/>
    <cellStyle name="40% - Accent1 2 8 2 3" xfId="23509" xr:uid="{5969CBF7-41DF-45A9-834A-55D7F0B908B0}"/>
    <cellStyle name="40% - Accent1 2 8 3" xfId="10851" xr:uid="{00C6BE37-6F62-45E9-90B3-BE9F86F97EC6}"/>
    <cellStyle name="40% - Accent1 2 8 4" xfId="19292" xr:uid="{28D0480E-6BFA-43E1-863C-AEFFDA5725AF}"/>
    <cellStyle name="40% - Accent1 2 9" xfId="4553" xr:uid="{00000000-0005-0000-0000-000011040000}"/>
    <cellStyle name="40% - Accent1 2 9 2" xfId="13003" xr:uid="{B21D7107-ACEF-4D2A-9F2C-85B6ED9DA1A6}"/>
    <cellStyle name="40% - Accent1 2 9 3" xfId="21443" xr:uid="{6705BEF5-27F1-4833-8CAB-B74B222DD042}"/>
    <cellStyle name="40% - Accent1 3" xfId="54" xr:uid="{00000000-0005-0000-0000-000012040000}"/>
    <cellStyle name="40% - Accent1 3 10" xfId="17230" xr:uid="{E043797C-10A5-49C4-953A-3ED2374ECCB5}"/>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ACDD7A96-D4B3-4B03-928A-23821E7A8509}"/>
    <cellStyle name="40% - Accent1 3 2 2 2 2 3" xfId="24007" xr:uid="{7241A747-D9DE-4A92-A084-88D3DAF75A56}"/>
    <cellStyle name="40% - Accent1 3 2 2 2 3" xfId="11349" xr:uid="{03A568A4-54F3-4C14-965C-FBDD4730724E}"/>
    <cellStyle name="40% - Accent1 3 2 2 2 4" xfId="19790" xr:uid="{1C4B1DE6-CED7-4BB1-944E-EB3329934D4C}"/>
    <cellStyle name="40% - Accent1 3 2 2 3" xfId="4972" xr:uid="{00000000-0005-0000-0000-000017040000}"/>
    <cellStyle name="40% - Accent1 3 2 2 3 2" xfId="13422" xr:uid="{CE04374B-D04A-4039-A7A3-A392DCE5B4C8}"/>
    <cellStyle name="40% - Accent1 3 2 2 3 3" xfId="21862" xr:uid="{9EF126B1-21FF-46C6-9647-FDD04131E3E9}"/>
    <cellStyle name="40% - Accent1 3 2 2 4" xfId="9204" xr:uid="{4AD87E26-D3C2-453E-8877-EA8E395A9FB9}"/>
    <cellStyle name="40% - Accent1 3 2 2 5" xfId="17645" xr:uid="{80E61550-B664-4A59-AD5E-E7AE5FFDBED2}"/>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0C4E42A7-414A-4513-866E-2373312B2E57}"/>
    <cellStyle name="40% - Accent1 3 2 3 2 2 3" xfId="24420" xr:uid="{98814E2A-87E3-40FE-9E85-CE1A32344BDB}"/>
    <cellStyle name="40% - Accent1 3 2 3 2 3" xfId="11762" xr:uid="{7453BEF6-D198-43BA-B19D-8DF7C2139B42}"/>
    <cellStyle name="40% - Accent1 3 2 3 2 4" xfId="20203" xr:uid="{72FB2704-76CF-4246-A083-545D447A1ABC}"/>
    <cellStyle name="40% - Accent1 3 2 3 3" xfId="5385" xr:uid="{00000000-0005-0000-0000-00001B040000}"/>
    <cellStyle name="40% - Accent1 3 2 3 3 2" xfId="13835" xr:uid="{E44EE918-04AD-4C63-A088-29EBDB8C3F44}"/>
    <cellStyle name="40% - Accent1 3 2 3 3 3" xfId="22275" xr:uid="{3CDDC942-B93A-4749-A90D-BC2F4CF2E3E8}"/>
    <cellStyle name="40% - Accent1 3 2 3 4" xfId="9617" xr:uid="{A30035C0-DAC9-43C0-B69E-4D8A2ED81B93}"/>
    <cellStyle name="40% - Accent1 3 2 3 5" xfId="18058" xr:uid="{5BC875A1-DD1F-4632-AF61-B9D5178A7EA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9A94C825-08BF-4D31-8D7B-149E75726110}"/>
    <cellStyle name="40% - Accent1 3 2 4 2 2 3" xfId="24833" xr:uid="{9F9356E7-9C46-43C8-93A4-2FF48FF5F975}"/>
    <cellStyle name="40% - Accent1 3 2 4 2 3" xfId="12175" xr:uid="{3B319116-FA7A-43E7-B007-A8DA7D1226B5}"/>
    <cellStyle name="40% - Accent1 3 2 4 2 4" xfId="20616" xr:uid="{13AAE567-067E-4433-9BF1-D1D10156855F}"/>
    <cellStyle name="40% - Accent1 3 2 4 3" xfId="5798" xr:uid="{00000000-0005-0000-0000-00001F040000}"/>
    <cellStyle name="40% - Accent1 3 2 4 3 2" xfId="14248" xr:uid="{F23AEE09-1FB1-4CC5-A613-1C5CD85CEE2B}"/>
    <cellStyle name="40% - Accent1 3 2 4 3 3" xfId="22688" xr:uid="{81D82E15-0D35-49C7-89CE-BB9E9722B6C1}"/>
    <cellStyle name="40% - Accent1 3 2 4 4" xfId="10030" xr:uid="{437314DF-361C-4B0B-A3D2-490CEBF6FF3E}"/>
    <cellStyle name="40% - Accent1 3 2 4 5" xfId="18471" xr:uid="{BBCA9CEB-3BA3-4C17-902F-94685BAEAA6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78A81CFA-1405-46AB-9689-BA5100430D2D}"/>
    <cellStyle name="40% - Accent1 3 2 5 2 2 3" xfId="25246" xr:uid="{FEE30C18-B30F-4B91-A4AE-3F3D719F41BA}"/>
    <cellStyle name="40% - Accent1 3 2 5 2 3" xfId="12588" xr:uid="{2129398E-0006-40FE-A6AE-6763CE5C60D8}"/>
    <cellStyle name="40% - Accent1 3 2 5 2 4" xfId="21029" xr:uid="{F4C60FE8-5FB6-4F2D-8C4E-8AC6832267F1}"/>
    <cellStyle name="40% - Accent1 3 2 5 3" xfId="6211" xr:uid="{00000000-0005-0000-0000-000023040000}"/>
    <cellStyle name="40% - Accent1 3 2 5 3 2" xfId="14661" xr:uid="{CC0A8D0F-A30D-4211-BBCF-47CB3248165D}"/>
    <cellStyle name="40% - Accent1 3 2 5 3 3" xfId="23101" xr:uid="{5366CDA0-AF61-4F1F-B32C-88642562E3A3}"/>
    <cellStyle name="40% - Accent1 3 2 5 4" xfId="10443" xr:uid="{EA724A04-EA87-42B2-A036-1BC5E53F3353}"/>
    <cellStyle name="40% - Accent1 3 2 5 5" xfId="18884" xr:uid="{FF6CE8AF-D674-47DA-A7A7-CDA4F7932257}"/>
    <cellStyle name="40% - Accent1 3 2 6" xfId="2318" xr:uid="{00000000-0005-0000-0000-000024040000}"/>
    <cellStyle name="40% - Accent1 3 2 6 2" xfId="6624" xr:uid="{00000000-0005-0000-0000-000025040000}"/>
    <cellStyle name="40% - Accent1 3 2 6 2 2" xfId="15074" xr:uid="{192DC8FB-77E1-4BD0-845C-DE4274A08971}"/>
    <cellStyle name="40% - Accent1 3 2 6 2 3" xfId="23514" xr:uid="{4BCA8A68-8A8D-4795-BB56-51949EEC80D9}"/>
    <cellStyle name="40% - Accent1 3 2 6 3" xfId="10856" xr:uid="{9E8C4C35-6127-4EA9-BD76-AC7AACD51F72}"/>
    <cellStyle name="40% - Accent1 3 2 6 4" xfId="19297" xr:uid="{DB380DAD-BF5E-4E82-80A4-ECF894DAAE87}"/>
    <cellStyle name="40% - Accent1 3 2 7" xfId="4558" xr:uid="{00000000-0005-0000-0000-000026040000}"/>
    <cellStyle name="40% - Accent1 3 2 7 2" xfId="13008" xr:uid="{26F06BC3-2786-43F1-AB0F-F70DC1C997B2}"/>
    <cellStyle name="40% - Accent1 3 2 7 3" xfId="21448" xr:uid="{3884986D-7087-47C6-A6E9-BEF43A448B12}"/>
    <cellStyle name="40% - Accent1 3 2 8" xfId="8790" xr:uid="{0C0881E7-6F34-4BF6-B462-752409C81BEB}"/>
    <cellStyle name="40% - Accent1 3 2 9" xfId="17231" xr:uid="{3D4CEF29-33F1-48A9-B0F2-74911ABC4640}"/>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5256EBA6-179F-41C1-83E0-BEAE675461D6}"/>
    <cellStyle name="40% - Accent1 3 3 2 2 3" xfId="24006" xr:uid="{2213F53B-AF57-4377-B3B5-61B3F36E00E2}"/>
    <cellStyle name="40% - Accent1 3 3 2 3" xfId="11348" xr:uid="{B75DCF6A-C77C-4233-9A10-C1F2D2274F21}"/>
    <cellStyle name="40% - Accent1 3 3 2 4" xfId="19789" xr:uid="{0766A188-B833-4D89-8993-F8842754D192}"/>
    <cellStyle name="40% - Accent1 3 3 3" xfId="4971" xr:uid="{00000000-0005-0000-0000-00002A040000}"/>
    <cellStyle name="40% - Accent1 3 3 3 2" xfId="13421" xr:uid="{FE059206-489B-47B1-97CB-61BCDF7EDE2A}"/>
    <cellStyle name="40% - Accent1 3 3 3 3" xfId="21861" xr:uid="{4AB9CB71-07FA-40C3-9D98-D81FEB5A9570}"/>
    <cellStyle name="40% - Accent1 3 3 4" xfId="9203" xr:uid="{AD5C1C55-8767-4105-B24F-0F449D2B55FA}"/>
    <cellStyle name="40% - Accent1 3 3 5" xfId="17644" xr:uid="{0B1835BD-06D4-4561-A9D8-1E0F91F3BFB1}"/>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17DEF958-4B6C-450D-8410-0C63CB772B8C}"/>
    <cellStyle name="40% - Accent1 3 4 2 2 3" xfId="24419" xr:uid="{37AF7268-C027-40CE-960A-7A5F1F6A6762}"/>
    <cellStyle name="40% - Accent1 3 4 2 3" xfId="11761" xr:uid="{0CD84B2B-56A0-4A35-A1F3-33C58715EB68}"/>
    <cellStyle name="40% - Accent1 3 4 2 4" xfId="20202" xr:uid="{370C6CEE-7BFC-4C68-8E10-E17D1B4C5D44}"/>
    <cellStyle name="40% - Accent1 3 4 3" xfId="5384" xr:uid="{00000000-0005-0000-0000-00002E040000}"/>
    <cellStyle name="40% - Accent1 3 4 3 2" xfId="13834" xr:uid="{9BF386D6-DA87-40DA-AF41-FBCF1208E698}"/>
    <cellStyle name="40% - Accent1 3 4 3 3" xfId="22274" xr:uid="{3314C242-EBAD-4BB4-90A0-D1FCAF00748A}"/>
    <cellStyle name="40% - Accent1 3 4 4" xfId="9616" xr:uid="{95AFDA01-300E-4998-897B-49CEF783C85F}"/>
    <cellStyle name="40% - Accent1 3 4 5" xfId="18057" xr:uid="{2A79DEBA-9896-42D2-B4CE-E9EB06A9CFB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739B80C6-77CB-481A-A772-5A4D70C2696A}"/>
    <cellStyle name="40% - Accent1 3 5 2 2 3" xfId="24832" xr:uid="{E26FBB36-4385-4FB5-ABCD-EADE1BE5FAB3}"/>
    <cellStyle name="40% - Accent1 3 5 2 3" xfId="12174" xr:uid="{F41D7185-EB2D-429B-9F28-A4AA0439A962}"/>
    <cellStyle name="40% - Accent1 3 5 2 4" xfId="20615" xr:uid="{7E4A4FC6-655A-4307-B8D7-BBD7C7B925F4}"/>
    <cellStyle name="40% - Accent1 3 5 3" xfId="5797" xr:uid="{00000000-0005-0000-0000-000032040000}"/>
    <cellStyle name="40% - Accent1 3 5 3 2" xfId="14247" xr:uid="{D0DF14B2-36A1-4AC2-B10A-636F83DF0C3D}"/>
    <cellStyle name="40% - Accent1 3 5 3 3" xfId="22687" xr:uid="{7E5A9280-2A1D-434D-B7B5-F5693396985E}"/>
    <cellStyle name="40% - Accent1 3 5 4" xfId="10029" xr:uid="{8C96E6FD-9D69-4D5B-BF1C-CC77C74BCCF8}"/>
    <cellStyle name="40% - Accent1 3 5 5" xfId="18470" xr:uid="{4C18FC12-D01C-4677-B280-013DA0F0208E}"/>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8F2D74E0-EC95-420A-9EB4-8FB7520A96E6}"/>
    <cellStyle name="40% - Accent1 3 6 2 2 3" xfId="25245" xr:uid="{410E1AC9-DCD0-42D0-8F4D-4927B3A3F987}"/>
    <cellStyle name="40% - Accent1 3 6 2 3" xfId="12587" xr:uid="{9EBA0682-292F-439F-B100-D6FE65D932DC}"/>
    <cellStyle name="40% - Accent1 3 6 2 4" xfId="21028" xr:uid="{66903612-7005-413B-9ED7-595D0D5D6FBC}"/>
    <cellStyle name="40% - Accent1 3 6 3" xfId="6210" xr:uid="{00000000-0005-0000-0000-000036040000}"/>
    <cellStyle name="40% - Accent1 3 6 3 2" xfId="14660" xr:uid="{F618E5F0-5981-4810-AA75-BA7F550AFEA1}"/>
    <cellStyle name="40% - Accent1 3 6 3 3" xfId="23100" xr:uid="{6A1B8B5E-203E-472C-8BE2-A057B3353403}"/>
    <cellStyle name="40% - Accent1 3 6 4" xfId="10442" xr:uid="{AEE13AAA-A3B6-424B-B091-A47F5FA14006}"/>
    <cellStyle name="40% - Accent1 3 6 5" xfId="18883" xr:uid="{E9314258-A4A6-4992-9306-0A0D2287D5D3}"/>
    <cellStyle name="40% - Accent1 3 7" xfId="2317" xr:uid="{00000000-0005-0000-0000-000037040000}"/>
    <cellStyle name="40% - Accent1 3 7 2" xfId="6623" xr:uid="{00000000-0005-0000-0000-000038040000}"/>
    <cellStyle name="40% - Accent1 3 7 2 2" xfId="15073" xr:uid="{341E5318-1DDF-49B6-91BE-394B6A02BB37}"/>
    <cellStyle name="40% - Accent1 3 7 2 3" xfId="23513" xr:uid="{6B3EF88E-B253-43BF-874D-4967F227903D}"/>
    <cellStyle name="40% - Accent1 3 7 3" xfId="10855" xr:uid="{179F7B7F-0D4B-473C-AF4A-9B14E67C5964}"/>
    <cellStyle name="40% - Accent1 3 7 4" xfId="19296" xr:uid="{795FCD94-8F66-429F-8C23-FCFECAB7B022}"/>
    <cellStyle name="40% - Accent1 3 8" xfId="4557" xr:uid="{00000000-0005-0000-0000-000039040000}"/>
    <cellStyle name="40% - Accent1 3 8 2" xfId="13007" xr:uid="{86020C02-760F-409C-8304-9388645CEF95}"/>
    <cellStyle name="40% - Accent1 3 8 3" xfId="21447" xr:uid="{486E391D-D062-46A6-AAB8-9BB9E703D99F}"/>
    <cellStyle name="40% - Accent1 3 9" xfId="8789" xr:uid="{8641FE2D-4D71-40ED-A643-C6429A81951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9581871B-7E27-4164-BC32-133F35677B83}"/>
    <cellStyle name="40% - Accent1 4 2 2 2 3" xfId="24008" xr:uid="{6C78CD81-6B99-4513-B4BC-32E6B8C6CBC4}"/>
    <cellStyle name="40% - Accent1 4 2 2 3" xfId="11350" xr:uid="{4F6160DB-F747-4C3F-A5EB-04BE94953E04}"/>
    <cellStyle name="40% - Accent1 4 2 2 4" xfId="19791" xr:uid="{0AF0DE17-4C5F-4DDD-B9C3-63C6CC36DDC2}"/>
    <cellStyle name="40% - Accent1 4 2 3" xfId="4973" xr:uid="{00000000-0005-0000-0000-00003E040000}"/>
    <cellStyle name="40% - Accent1 4 2 3 2" xfId="13423" xr:uid="{210161B9-5AEB-4DFA-9775-2DE865863AC0}"/>
    <cellStyle name="40% - Accent1 4 2 3 3" xfId="21863" xr:uid="{22E934A7-E700-4602-993E-17FFA84615CE}"/>
    <cellStyle name="40% - Accent1 4 2 4" xfId="9205" xr:uid="{E7E7CB5F-6ACC-48A8-AAEF-F325918EBBF7}"/>
    <cellStyle name="40% - Accent1 4 2 5" xfId="17646" xr:uid="{6DB9A890-1CC4-4C21-A626-B07FC1685F0A}"/>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E2046992-6024-433B-BC2B-F22A2FF2099A}"/>
    <cellStyle name="40% - Accent1 4 3 2 2 3" xfId="24421" xr:uid="{53A9F99C-580E-426E-9F81-746EFA03C0C7}"/>
    <cellStyle name="40% - Accent1 4 3 2 3" xfId="11763" xr:uid="{1B34CE41-FA6D-4D9B-95C4-86651EC96A01}"/>
    <cellStyle name="40% - Accent1 4 3 2 4" xfId="20204" xr:uid="{81EDC3F5-D6F5-4E51-A04B-3E847BE309CA}"/>
    <cellStyle name="40% - Accent1 4 3 3" xfId="5386" xr:uid="{00000000-0005-0000-0000-000042040000}"/>
    <cellStyle name="40% - Accent1 4 3 3 2" xfId="13836" xr:uid="{B8F19ECC-0218-4762-B81C-877A76A30AA7}"/>
    <cellStyle name="40% - Accent1 4 3 3 3" xfId="22276" xr:uid="{0B5A5F76-1409-4B14-8F40-2199ED87F7AE}"/>
    <cellStyle name="40% - Accent1 4 3 4" xfId="9618" xr:uid="{E45A6C6C-54DB-477C-B675-9FDC9A1B31C9}"/>
    <cellStyle name="40% - Accent1 4 3 5" xfId="18059" xr:uid="{868239BC-D171-4789-8752-F3DBF304CCE6}"/>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0BA67032-7053-4028-8CDC-0B80EC02CA5F}"/>
    <cellStyle name="40% - Accent1 4 4 2 2 3" xfId="24834" xr:uid="{17D4ADE9-D05C-4571-90E1-6797766D1999}"/>
    <cellStyle name="40% - Accent1 4 4 2 3" xfId="12176" xr:uid="{84978AB5-4B20-4AA4-B335-E1A1951E029D}"/>
    <cellStyle name="40% - Accent1 4 4 2 4" xfId="20617" xr:uid="{99A144D7-59AC-42C9-B385-6FBDAC6D10B9}"/>
    <cellStyle name="40% - Accent1 4 4 3" xfId="5799" xr:uid="{00000000-0005-0000-0000-000046040000}"/>
    <cellStyle name="40% - Accent1 4 4 3 2" xfId="14249" xr:uid="{41CBBBDD-BBCF-4EDC-BBB1-8795C8DD53CD}"/>
    <cellStyle name="40% - Accent1 4 4 3 3" xfId="22689" xr:uid="{2209AFAB-19C0-4565-B390-58949327F8D0}"/>
    <cellStyle name="40% - Accent1 4 4 4" xfId="10031" xr:uid="{91ACCE02-B753-4952-8A26-2176726C2950}"/>
    <cellStyle name="40% - Accent1 4 4 5" xfId="18472" xr:uid="{3197214D-0135-4F89-8C91-DB4775FEF55F}"/>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055CDC39-BD53-4B01-A663-FA1F5EF3E0FF}"/>
    <cellStyle name="40% - Accent1 4 5 2 2 3" xfId="25247" xr:uid="{7030F784-C32A-4FA9-975A-BAB85B1C1D06}"/>
    <cellStyle name="40% - Accent1 4 5 2 3" xfId="12589" xr:uid="{D0BCDC62-F95A-4989-8DE1-B7759411A0B6}"/>
    <cellStyle name="40% - Accent1 4 5 2 4" xfId="21030" xr:uid="{7E93C110-11FC-45D7-9D9C-FB7AA4C7B30B}"/>
    <cellStyle name="40% - Accent1 4 5 3" xfId="6212" xr:uid="{00000000-0005-0000-0000-00004A040000}"/>
    <cellStyle name="40% - Accent1 4 5 3 2" xfId="14662" xr:uid="{8D51D04C-0D62-4E2F-9065-2BE270B50CC9}"/>
    <cellStyle name="40% - Accent1 4 5 3 3" xfId="23102" xr:uid="{1EDAA3CE-5CA3-4F50-943B-95826767D608}"/>
    <cellStyle name="40% - Accent1 4 5 4" xfId="10444" xr:uid="{3E131E8F-75B2-4030-B730-120E031CF3EE}"/>
    <cellStyle name="40% - Accent1 4 5 5" xfId="18885" xr:uid="{3BF514A8-2BDF-470B-8DFE-05E3F0D85308}"/>
    <cellStyle name="40% - Accent1 4 6" xfId="2319" xr:uid="{00000000-0005-0000-0000-00004B040000}"/>
    <cellStyle name="40% - Accent1 4 6 2" xfId="6625" xr:uid="{00000000-0005-0000-0000-00004C040000}"/>
    <cellStyle name="40% - Accent1 4 6 2 2" xfId="15075" xr:uid="{491AEE69-3AA4-4B17-B86D-24F2EA43D0D8}"/>
    <cellStyle name="40% - Accent1 4 6 2 3" xfId="23515" xr:uid="{502E55AB-E2CE-4B2B-AD9D-898F3A1036AF}"/>
    <cellStyle name="40% - Accent1 4 6 3" xfId="10857" xr:uid="{080FAA68-1863-4F46-B302-B3A35C0FEB24}"/>
    <cellStyle name="40% - Accent1 4 6 4" xfId="19298" xr:uid="{47E350CE-F75C-4832-B3A5-641973E9C31B}"/>
    <cellStyle name="40% - Accent1 4 7" xfId="4559" xr:uid="{00000000-0005-0000-0000-00004D040000}"/>
    <cellStyle name="40% - Accent1 4 7 2" xfId="13009" xr:uid="{DB077305-3A7F-4B0C-AC81-19504D5FC738}"/>
    <cellStyle name="40% - Accent1 4 7 3" xfId="21449" xr:uid="{5BC4718A-E688-4B54-8C9F-B21C9D0E3DDA}"/>
    <cellStyle name="40% - Accent1 4 8" xfId="8791" xr:uid="{83895B98-7ED0-4839-9B86-D9C4F0460F3C}"/>
    <cellStyle name="40% - Accent1 4 9" xfId="17232" xr:uid="{D489495F-8237-43D7-BA1E-16E019BDE25F}"/>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92822635-78CB-422B-8099-47ADA4C766D0}"/>
    <cellStyle name="40% - Accent1 5 2 2 3" xfId="24001" xr:uid="{9A3BFBBE-BEC7-415B-A209-392B4887E9B9}"/>
    <cellStyle name="40% - Accent1 5 2 3" xfId="11343" xr:uid="{392B50AD-008C-403F-9A34-C3574E4401F4}"/>
    <cellStyle name="40% - Accent1 5 2 4" xfId="19784" xr:uid="{F65B71D0-E52E-40CE-AD3C-67C6252C6260}"/>
    <cellStyle name="40% - Accent1 5 3" xfId="4966" xr:uid="{00000000-0005-0000-0000-000051040000}"/>
    <cellStyle name="40% - Accent1 5 3 2" xfId="13416" xr:uid="{384FF042-15F0-4C6B-8199-37E8BFA0D6E0}"/>
    <cellStyle name="40% - Accent1 5 3 3" xfId="21856" xr:uid="{5A2760EB-B5A1-4648-8C1E-8AE214814A7D}"/>
    <cellStyle name="40% - Accent1 5 4" xfId="9198" xr:uid="{5D03F95F-F37E-4467-88E5-81F2D9CCCD53}"/>
    <cellStyle name="40% - Accent1 5 5" xfId="17639" xr:uid="{E0DEEE6B-E9E6-437B-9BE8-FA4BDDCDBB3A}"/>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F9209011-B258-4105-A893-F64542CE4772}"/>
    <cellStyle name="40% - Accent1 6 2 2 3" xfId="24414" xr:uid="{F4B69045-5268-4B1A-BD5A-3E680863542E}"/>
    <cellStyle name="40% - Accent1 6 2 3" xfId="11756" xr:uid="{27F6AAF2-04C6-41E4-AB8C-271BA506BF55}"/>
    <cellStyle name="40% - Accent1 6 2 4" xfId="20197" xr:uid="{A5937450-5B34-4EC6-9556-D48FF3D4D7FA}"/>
    <cellStyle name="40% - Accent1 6 3" xfId="5379" xr:uid="{00000000-0005-0000-0000-000055040000}"/>
    <cellStyle name="40% - Accent1 6 3 2" xfId="13829" xr:uid="{BEDF34AA-4248-4DEB-BE3F-C31DB33C2431}"/>
    <cellStyle name="40% - Accent1 6 3 3" xfId="22269" xr:uid="{7ABB26B2-65B0-4646-92BB-259AFA672884}"/>
    <cellStyle name="40% - Accent1 6 4" xfId="9611" xr:uid="{8008F3DF-33C1-4B53-9BD4-6024607414DF}"/>
    <cellStyle name="40% - Accent1 6 5" xfId="18052" xr:uid="{C12422CF-0E7E-4BBA-B9B8-3940CE8A9EAA}"/>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B90D1336-6D4C-4158-94C2-E4B49917BF4F}"/>
    <cellStyle name="40% - Accent1 7 2 2 3" xfId="24827" xr:uid="{1A36A9A9-A417-4DFA-ACCD-3A559EC5306B}"/>
    <cellStyle name="40% - Accent1 7 2 3" xfId="12169" xr:uid="{55BB9E9E-E545-4893-A559-825D0DCDA266}"/>
    <cellStyle name="40% - Accent1 7 2 4" xfId="20610" xr:uid="{7D221CD8-1B87-4242-A97D-E5256574B084}"/>
    <cellStyle name="40% - Accent1 7 3" xfId="5792" xr:uid="{00000000-0005-0000-0000-000059040000}"/>
    <cellStyle name="40% - Accent1 7 3 2" xfId="14242" xr:uid="{EE701179-DD32-4C60-8DDA-C3EC7F9678BE}"/>
    <cellStyle name="40% - Accent1 7 3 3" xfId="22682" xr:uid="{4751612B-66B2-4F6E-A88A-51A7F956AA30}"/>
    <cellStyle name="40% - Accent1 7 4" xfId="10024" xr:uid="{40EA33A7-FE60-4999-BE6A-AA1F1F94099B}"/>
    <cellStyle name="40% - Accent1 7 5" xfId="18465" xr:uid="{67118793-E6EE-462F-B528-9445F2C6EB75}"/>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25A7ED6F-D5B9-4134-80D1-E2A65906E540}"/>
    <cellStyle name="40% - Accent1 8 2 2 3" xfId="25240" xr:uid="{2983F90D-A28A-4765-A3E8-CB767743B489}"/>
    <cellStyle name="40% - Accent1 8 2 3" xfId="12582" xr:uid="{37378A1A-C02D-451D-B7EA-FFFEFC6424A0}"/>
    <cellStyle name="40% - Accent1 8 2 4" xfId="21023" xr:uid="{4503532B-81D1-4A99-8977-E206EC39E5FD}"/>
    <cellStyle name="40% - Accent1 8 3" xfId="6205" xr:uid="{00000000-0005-0000-0000-00005D040000}"/>
    <cellStyle name="40% - Accent1 8 3 2" xfId="14655" xr:uid="{8DF30CAB-B74D-498D-B606-C327D93988C0}"/>
    <cellStyle name="40% - Accent1 8 3 3" xfId="23095" xr:uid="{EC4B260C-7A19-4FAD-8DC9-668AD4D3C138}"/>
    <cellStyle name="40% - Accent1 8 4" xfId="10437" xr:uid="{49E3B7DA-51A7-4104-A5A6-34F2BBAC0820}"/>
    <cellStyle name="40% - Accent1 8 5" xfId="18878" xr:uid="{8FA7F524-762F-409E-B963-1467BD67A1C2}"/>
    <cellStyle name="40% - Accent1 9" xfId="2312" xr:uid="{00000000-0005-0000-0000-00005E040000}"/>
    <cellStyle name="40% - Accent1 9 2" xfId="6618" xr:uid="{00000000-0005-0000-0000-00005F040000}"/>
    <cellStyle name="40% - Accent1 9 2 2" xfId="15068" xr:uid="{6518C3FF-E351-43DA-95E9-4D632CB9264F}"/>
    <cellStyle name="40% - Accent1 9 2 3" xfId="23508" xr:uid="{2C11D132-201B-4655-957D-6A23FAE45192}"/>
    <cellStyle name="40% - Accent1 9 3" xfId="10850" xr:uid="{557633F1-3D90-49B0-AB71-AAA87711A5AE}"/>
    <cellStyle name="40% - Accent1 9 4" xfId="19291" xr:uid="{18331A2F-6DD8-4FAA-8BC5-8E4CED15DEEE}"/>
    <cellStyle name="40% - Accent2" xfId="57" builtinId="35" customBuiltin="1"/>
    <cellStyle name="40% - Accent2 10" xfId="4560" xr:uid="{00000000-0005-0000-0000-000061040000}"/>
    <cellStyle name="40% - Accent2 10 2" xfId="13010" xr:uid="{0B877332-B722-4E78-B42E-4F8D5C0BFAE9}"/>
    <cellStyle name="40% - Accent2 10 3" xfId="21450" xr:uid="{83F7FFAF-5D6F-4B96-A084-3CD5A5B33747}"/>
    <cellStyle name="40% - Accent2 11" xfId="8792" xr:uid="{8133473A-A480-4192-8BBA-A0D7B50BFACD}"/>
    <cellStyle name="40% - Accent2 12" xfId="17233" xr:uid="{0325FAEF-45C7-49D6-AFC8-2E2362153246}"/>
    <cellStyle name="40% - Accent2 2" xfId="58" xr:uid="{00000000-0005-0000-0000-000062040000}"/>
    <cellStyle name="40% - Accent2 2 10" xfId="8793" xr:uid="{D8BACA40-CEFB-4878-BA3F-D2DD267A57FC}"/>
    <cellStyle name="40% - Accent2 2 11" xfId="17234" xr:uid="{278D630F-50A8-4728-8FEA-E10D55710703}"/>
    <cellStyle name="40% - Accent2 2 2" xfId="59" xr:uid="{00000000-0005-0000-0000-000063040000}"/>
    <cellStyle name="40% - Accent2 2 2 10" xfId="17235" xr:uid="{B2889594-7EC4-470D-98CD-762AB4B6FECD}"/>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0EB6F4CB-3622-4D30-A92B-85355E3221A8}"/>
    <cellStyle name="40% - Accent2 2 2 2 2 2 2 3" xfId="24012" xr:uid="{0EE8D78F-273F-4503-81BA-F03FD925CC1A}"/>
    <cellStyle name="40% - Accent2 2 2 2 2 2 3" xfId="11354" xr:uid="{B17F50E5-282A-4EFF-8709-E550DE565A4E}"/>
    <cellStyle name="40% - Accent2 2 2 2 2 2 4" xfId="19795" xr:uid="{E3EEBD95-3459-40B0-AC55-152BE8DB9907}"/>
    <cellStyle name="40% - Accent2 2 2 2 2 3" xfId="4977" xr:uid="{00000000-0005-0000-0000-000068040000}"/>
    <cellStyle name="40% - Accent2 2 2 2 2 3 2" xfId="13427" xr:uid="{192B1575-F1BE-4937-B4B2-A71EE63958A7}"/>
    <cellStyle name="40% - Accent2 2 2 2 2 3 3" xfId="21867" xr:uid="{F05E90F7-78A0-494B-8589-56F5D1B2DB34}"/>
    <cellStyle name="40% - Accent2 2 2 2 2 4" xfId="9209" xr:uid="{EC9093E3-9CE9-4F96-82A8-9A9C1BD8F7EF}"/>
    <cellStyle name="40% - Accent2 2 2 2 2 5" xfId="17650" xr:uid="{44667175-8565-469F-811B-9839E49BB043}"/>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C5C6E731-CC65-49D4-A396-6D3A687384DB}"/>
    <cellStyle name="40% - Accent2 2 2 2 3 2 2 3" xfId="24425" xr:uid="{898A9646-E1BC-4013-9A82-30C094039992}"/>
    <cellStyle name="40% - Accent2 2 2 2 3 2 3" xfId="11767" xr:uid="{05A88AB9-BDFF-49C9-8CEE-BAA0EADE6101}"/>
    <cellStyle name="40% - Accent2 2 2 2 3 2 4" xfId="20208" xr:uid="{EE0E55C9-5D38-47FA-B229-C1C4610C37F8}"/>
    <cellStyle name="40% - Accent2 2 2 2 3 3" xfId="5390" xr:uid="{00000000-0005-0000-0000-00006C040000}"/>
    <cellStyle name="40% - Accent2 2 2 2 3 3 2" xfId="13840" xr:uid="{2CF77532-893C-4958-896F-118556A2D7E3}"/>
    <cellStyle name="40% - Accent2 2 2 2 3 3 3" xfId="22280" xr:uid="{893168AC-149D-4A1F-8286-CB82FA6F104C}"/>
    <cellStyle name="40% - Accent2 2 2 2 3 4" xfId="9622" xr:uid="{0C2D794E-EED0-4F69-817E-D5EE4E6BB77E}"/>
    <cellStyle name="40% - Accent2 2 2 2 3 5" xfId="18063" xr:uid="{5A6DAA26-3B69-4343-A86A-53F9942B2CED}"/>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97A70CB0-F2D5-449F-804D-AE58EB48B71F}"/>
    <cellStyle name="40% - Accent2 2 2 2 4 2 2 3" xfId="24838" xr:uid="{18292EEA-1912-4B57-B1FA-93F6AF9B61C1}"/>
    <cellStyle name="40% - Accent2 2 2 2 4 2 3" xfId="12180" xr:uid="{CC598B35-6D27-48DA-887A-863908DFFA61}"/>
    <cellStyle name="40% - Accent2 2 2 2 4 2 4" xfId="20621" xr:uid="{47580363-D916-4308-8D0B-D10282FF5B45}"/>
    <cellStyle name="40% - Accent2 2 2 2 4 3" xfId="5803" xr:uid="{00000000-0005-0000-0000-000070040000}"/>
    <cellStyle name="40% - Accent2 2 2 2 4 3 2" xfId="14253" xr:uid="{18B57E63-8DD0-4892-8A5D-EF5DF62F4942}"/>
    <cellStyle name="40% - Accent2 2 2 2 4 3 3" xfId="22693" xr:uid="{DA24AFE0-2AEB-4C67-82C8-6ADE3B626E83}"/>
    <cellStyle name="40% - Accent2 2 2 2 4 4" xfId="10035" xr:uid="{15CC188C-7B74-485B-A04F-49FA82105F26}"/>
    <cellStyle name="40% - Accent2 2 2 2 4 5" xfId="18476" xr:uid="{F9C6E554-9E42-4609-BA57-220E027F981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908BF796-A612-474D-914B-5EF5C7FF141A}"/>
    <cellStyle name="40% - Accent2 2 2 2 5 2 2 3" xfId="25251" xr:uid="{D696D90F-9801-46D4-975A-A130C6482329}"/>
    <cellStyle name="40% - Accent2 2 2 2 5 2 3" xfId="12593" xr:uid="{AAB554D0-49FC-4967-B1D3-1FF5AC2FEEE2}"/>
    <cellStyle name="40% - Accent2 2 2 2 5 2 4" xfId="21034" xr:uid="{B30238D7-357A-4809-BEAC-6053C0321CE3}"/>
    <cellStyle name="40% - Accent2 2 2 2 5 3" xfId="6216" xr:uid="{00000000-0005-0000-0000-000074040000}"/>
    <cellStyle name="40% - Accent2 2 2 2 5 3 2" xfId="14666" xr:uid="{38B727ED-4586-4EA2-B112-64400F1C3737}"/>
    <cellStyle name="40% - Accent2 2 2 2 5 3 3" xfId="23106" xr:uid="{F6FD1079-DB5E-46C9-A3B7-2A4FA902D8C6}"/>
    <cellStyle name="40% - Accent2 2 2 2 5 4" xfId="10448" xr:uid="{C3F60AA4-33A2-495B-9827-CD51F59A691E}"/>
    <cellStyle name="40% - Accent2 2 2 2 5 5" xfId="18889" xr:uid="{82EDDCD9-4012-42EA-8A8E-C85D51C9A6C6}"/>
    <cellStyle name="40% - Accent2 2 2 2 6" xfId="2323" xr:uid="{00000000-0005-0000-0000-000075040000}"/>
    <cellStyle name="40% - Accent2 2 2 2 6 2" xfId="6629" xr:uid="{00000000-0005-0000-0000-000076040000}"/>
    <cellStyle name="40% - Accent2 2 2 2 6 2 2" xfId="15079" xr:uid="{B468A9A5-E423-49C7-9139-C175F3B84FC5}"/>
    <cellStyle name="40% - Accent2 2 2 2 6 2 3" xfId="23519" xr:uid="{D414B241-BA1A-446A-A7A3-A2361EEE681F}"/>
    <cellStyle name="40% - Accent2 2 2 2 6 3" xfId="10861" xr:uid="{5C836238-688B-45FB-A630-3E6CDCBD67D1}"/>
    <cellStyle name="40% - Accent2 2 2 2 6 4" xfId="19302" xr:uid="{D2004A79-CF75-4971-9520-4A633E9F50BA}"/>
    <cellStyle name="40% - Accent2 2 2 2 7" xfId="4563" xr:uid="{00000000-0005-0000-0000-000077040000}"/>
    <cellStyle name="40% - Accent2 2 2 2 7 2" xfId="13013" xr:uid="{33895F69-B745-4DC2-84B7-9BD0CBF38901}"/>
    <cellStyle name="40% - Accent2 2 2 2 7 3" xfId="21453" xr:uid="{0B7FD997-C9F6-47A2-8CF0-46425417A576}"/>
    <cellStyle name="40% - Accent2 2 2 2 8" xfId="8795" xr:uid="{4AFC8C37-8CEE-42A8-A3D8-44E25687C1A2}"/>
    <cellStyle name="40% - Accent2 2 2 2 9" xfId="17236" xr:uid="{DCB917ED-B69F-4B12-B00B-6775AA94ED0A}"/>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BA9918A4-DFF9-41AA-BB2F-AEE640B4D2BD}"/>
    <cellStyle name="40% - Accent2 2 2 3 2 2 3" xfId="24011" xr:uid="{EF689B37-D62E-4A4D-9E98-52A3F8024C85}"/>
    <cellStyle name="40% - Accent2 2 2 3 2 3" xfId="11353" xr:uid="{2B287176-9243-4D54-868D-151718BB64B7}"/>
    <cellStyle name="40% - Accent2 2 2 3 2 4" xfId="19794" xr:uid="{B194AED5-7094-4960-8542-E2A0DFD98473}"/>
    <cellStyle name="40% - Accent2 2 2 3 3" xfId="4976" xr:uid="{00000000-0005-0000-0000-00007B040000}"/>
    <cellStyle name="40% - Accent2 2 2 3 3 2" xfId="13426" xr:uid="{4D696B6B-67B7-428B-B0F0-36D2AC1EAE7B}"/>
    <cellStyle name="40% - Accent2 2 2 3 3 3" xfId="21866" xr:uid="{F748B835-82D3-4261-A107-38EC657A5C78}"/>
    <cellStyle name="40% - Accent2 2 2 3 4" xfId="9208" xr:uid="{030212D5-EAFD-4F08-80A8-B92DC8EE37FE}"/>
    <cellStyle name="40% - Accent2 2 2 3 5" xfId="17649" xr:uid="{BEB49C11-F281-4488-940D-644623D8FD3F}"/>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36EB42CD-82F3-4403-B26D-76DF264C53F1}"/>
    <cellStyle name="40% - Accent2 2 2 4 2 2 3" xfId="24424" xr:uid="{E26CDE20-06DF-463E-8574-E0AFF132BBEB}"/>
    <cellStyle name="40% - Accent2 2 2 4 2 3" xfId="11766" xr:uid="{0BDA5D76-86CC-45E8-A242-AC795F70C222}"/>
    <cellStyle name="40% - Accent2 2 2 4 2 4" xfId="20207" xr:uid="{E34BDC78-7649-4D41-A8E9-F105C313DB77}"/>
    <cellStyle name="40% - Accent2 2 2 4 3" xfId="5389" xr:uid="{00000000-0005-0000-0000-00007F040000}"/>
    <cellStyle name="40% - Accent2 2 2 4 3 2" xfId="13839" xr:uid="{A6A72B79-F89D-4A49-80FF-A76B56BF5DE8}"/>
    <cellStyle name="40% - Accent2 2 2 4 3 3" xfId="22279" xr:uid="{8F0D7DF0-56F2-4206-B7C4-3B55F8C66561}"/>
    <cellStyle name="40% - Accent2 2 2 4 4" xfId="9621" xr:uid="{ABD4A00C-1141-4428-A5DC-608E8FE3D6A1}"/>
    <cellStyle name="40% - Accent2 2 2 4 5" xfId="18062" xr:uid="{BD72B3DA-51F6-47D5-AD0A-E9875D9C946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394C9688-AF94-409A-99C6-0D0F28E1507F}"/>
    <cellStyle name="40% - Accent2 2 2 5 2 2 3" xfId="24837" xr:uid="{14184796-547B-46CD-B92A-FEBA3DA47DB5}"/>
    <cellStyle name="40% - Accent2 2 2 5 2 3" xfId="12179" xr:uid="{214D9341-E9FB-4DD7-BFB4-26447A3180D0}"/>
    <cellStyle name="40% - Accent2 2 2 5 2 4" xfId="20620" xr:uid="{FDBADA4E-B317-4D68-AAEE-EA0C0801BC06}"/>
    <cellStyle name="40% - Accent2 2 2 5 3" xfId="5802" xr:uid="{00000000-0005-0000-0000-000083040000}"/>
    <cellStyle name="40% - Accent2 2 2 5 3 2" xfId="14252" xr:uid="{DC91F419-7836-4F2C-91A2-BFF74A246F91}"/>
    <cellStyle name="40% - Accent2 2 2 5 3 3" xfId="22692" xr:uid="{003CD27A-7F49-4BD4-9D07-4464AD45E9E6}"/>
    <cellStyle name="40% - Accent2 2 2 5 4" xfId="10034" xr:uid="{DC7DBF85-3A7E-44B7-932C-B52564C9BCA2}"/>
    <cellStyle name="40% - Accent2 2 2 5 5" xfId="18475" xr:uid="{A89B3B22-ABEA-4C69-93B9-9675A71097C0}"/>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59DFCCB8-5EA1-413A-92A0-7E92636911E5}"/>
    <cellStyle name="40% - Accent2 2 2 6 2 2 3" xfId="25250" xr:uid="{A67023B4-1BED-4DBD-B43A-F759C04D8463}"/>
    <cellStyle name="40% - Accent2 2 2 6 2 3" xfId="12592" xr:uid="{E0E2ECB5-CA4A-4F33-A800-1B3E47019A16}"/>
    <cellStyle name="40% - Accent2 2 2 6 2 4" xfId="21033" xr:uid="{4D2D63E5-0633-4A45-A29A-0D138EA8585D}"/>
    <cellStyle name="40% - Accent2 2 2 6 3" xfId="6215" xr:uid="{00000000-0005-0000-0000-000087040000}"/>
    <cellStyle name="40% - Accent2 2 2 6 3 2" xfId="14665" xr:uid="{F5A97E1C-5FE9-4CD6-8F59-7B80D94A1652}"/>
    <cellStyle name="40% - Accent2 2 2 6 3 3" xfId="23105" xr:uid="{0FE71652-4618-4B40-9112-76A06AB781B3}"/>
    <cellStyle name="40% - Accent2 2 2 6 4" xfId="10447" xr:uid="{6CAAE611-0C0E-4B90-BC27-D0C9B2E64D3C}"/>
    <cellStyle name="40% - Accent2 2 2 6 5" xfId="18888" xr:uid="{25317007-4342-4D23-AB08-784B9A8FFB6E}"/>
    <cellStyle name="40% - Accent2 2 2 7" xfId="2322" xr:uid="{00000000-0005-0000-0000-000088040000}"/>
    <cellStyle name="40% - Accent2 2 2 7 2" xfId="6628" xr:uid="{00000000-0005-0000-0000-000089040000}"/>
    <cellStyle name="40% - Accent2 2 2 7 2 2" xfId="15078" xr:uid="{327EBA9E-77FD-4449-9499-C6873E92C082}"/>
    <cellStyle name="40% - Accent2 2 2 7 2 3" xfId="23518" xr:uid="{8E5ED542-23DB-4088-AD81-2DCF47B50C4D}"/>
    <cellStyle name="40% - Accent2 2 2 7 3" xfId="10860" xr:uid="{AB5B3195-9CD2-47CE-BEED-E4D3CE38A205}"/>
    <cellStyle name="40% - Accent2 2 2 7 4" xfId="19301" xr:uid="{58CC5BA2-5BD3-42E3-89A9-23A6B4BA22F7}"/>
    <cellStyle name="40% - Accent2 2 2 8" xfId="4562" xr:uid="{00000000-0005-0000-0000-00008A040000}"/>
    <cellStyle name="40% - Accent2 2 2 8 2" xfId="13012" xr:uid="{1997A5BF-9F42-42BA-9878-F5060E03E715}"/>
    <cellStyle name="40% - Accent2 2 2 8 3" xfId="21452" xr:uid="{FC991140-DA12-4182-8DAB-4D3D13D62B0F}"/>
    <cellStyle name="40% - Accent2 2 2 9" xfId="8794" xr:uid="{11528EA7-737D-4801-85A6-33A043F38D7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11A96265-0832-4245-8873-48602BC04B08}"/>
    <cellStyle name="40% - Accent2 2 3 2 2 2 3" xfId="24013" xr:uid="{981FA279-EC77-4728-9F2E-263D53B97E10}"/>
    <cellStyle name="40% - Accent2 2 3 2 2 3" xfId="11355" xr:uid="{7811FCA5-8DAE-4382-8079-6E9F52D4CAC9}"/>
    <cellStyle name="40% - Accent2 2 3 2 2 4" xfId="19796" xr:uid="{16FF1841-7ADA-48C8-93BE-1D0D0E4D5262}"/>
    <cellStyle name="40% - Accent2 2 3 2 3" xfId="4978" xr:uid="{00000000-0005-0000-0000-00008F040000}"/>
    <cellStyle name="40% - Accent2 2 3 2 3 2" xfId="13428" xr:uid="{F286B4BC-910F-472F-95EC-E8BFB6B9E96D}"/>
    <cellStyle name="40% - Accent2 2 3 2 3 3" xfId="21868" xr:uid="{CC01497E-74EA-4350-98FE-AE7ECBA72E30}"/>
    <cellStyle name="40% - Accent2 2 3 2 4" xfId="9210" xr:uid="{B9936C9C-BE1A-4715-AC86-116EA904B43A}"/>
    <cellStyle name="40% - Accent2 2 3 2 5" xfId="17651" xr:uid="{849B88B0-531F-41C9-BEF2-76408F28B83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ADA9E818-DB25-4466-9C68-7C9F6B29D170}"/>
    <cellStyle name="40% - Accent2 2 3 3 2 2 3" xfId="24426" xr:uid="{4EE962EC-3FB7-4D20-B8BA-139CC95E1ADD}"/>
    <cellStyle name="40% - Accent2 2 3 3 2 3" xfId="11768" xr:uid="{6807B827-8B54-4967-B125-D79C47392ADE}"/>
    <cellStyle name="40% - Accent2 2 3 3 2 4" xfId="20209" xr:uid="{53981C13-28B9-42D9-A6D2-204A1E3BAC39}"/>
    <cellStyle name="40% - Accent2 2 3 3 3" xfId="5391" xr:uid="{00000000-0005-0000-0000-000093040000}"/>
    <cellStyle name="40% - Accent2 2 3 3 3 2" xfId="13841" xr:uid="{99E913D2-BB98-4364-BB3C-0861F3218326}"/>
    <cellStyle name="40% - Accent2 2 3 3 3 3" xfId="22281" xr:uid="{8CAD3946-1BE7-4B49-8B1A-92B046ED70F2}"/>
    <cellStyle name="40% - Accent2 2 3 3 4" xfId="9623" xr:uid="{228D8AF2-95B6-4DC7-A7A9-D05EF9501885}"/>
    <cellStyle name="40% - Accent2 2 3 3 5" xfId="18064" xr:uid="{41CA3161-5999-4001-B743-A589F45AC211}"/>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42C1F9B1-FB3C-4875-B2F1-809BC318BA16}"/>
    <cellStyle name="40% - Accent2 2 3 4 2 2 3" xfId="24839" xr:uid="{1F482E40-6830-4A01-8B9A-3DADBF7EEEE9}"/>
    <cellStyle name="40% - Accent2 2 3 4 2 3" xfId="12181" xr:uid="{64CE5068-A522-414E-8821-43B1967AEC42}"/>
    <cellStyle name="40% - Accent2 2 3 4 2 4" xfId="20622" xr:uid="{3030E4D5-17E7-44BC-AC61-E1A63BBBA3CB}"/>
    <cellStyle name="40% - Accent2 2 3 4 3" xfId="5804" xr:uid="{00000000-0005-0000-0000-000097040000}"/>
    <cellStyle name="40% - Accent2 2 3 4 3 2" xfId="14254" xr:uid="{FD0D9CE1-343E-400F-B4CD-E95E6A5F767B}"/>
    <cellStyle name="40% - Accent2 2 3 4 3 3" xfId="22694" xr:uid="{E6C8D266-1E80-431A-89D1-699395B39775}"/>
    <cellStyle name="40% - Accent2 2 3 4 4" xfId="10036" xr:uid="{8AF61000-CC59-4CC4-AC06-E011B5CA8FD3}"/>
    <cellStyle name="40% - Accent2 2 3 4 5" xfId="18477" xr:uid="{8AEA97E1-E13D-47B0-A206-05F8D0BA9C67}"/>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E6FA6AE8-EB20-421E-83B1-2BDA8780F610}"/>
    <cellStyle name="40% - Accent2 2 3 5 2 2 3" xfId="25252" xr:uid="{0D951D1E-2D2B-43D8-AD58-9C4A4261EE23}"/>
    <cellStyle name="40% - Accent2 2 3 5 2 3" xfId="12594" xr:uid="{9E9EF9FE-7040-4A48-8C64-9A3D01168FE8}"/>
    <cellStyle name="40% - Accent2 2 3 5 2 4" xfId="21035" xr:uid="{B0D0F2E4-94A6-43DC-91B2-903DD4F52965}"/>
    <cellStyle name="40% - Accent2 2 3 5 3" xfId="6217" xr:uid="{00000000-0005-0000-0000-00009B040000}"/>
    <cellStyle name="40% - Accent2 2 3 5 3 2" xfId="14667" xr:uid="{4406C630-E67F-4125-B703-33869D4CAA8A}"/>
    <cellStyle name="40% - Accent2 2 3 5 3 3" xfId="23107" xr:uid="{0BDEA234-04C0-4B3A-9B5E-42F4EF44F2F0}"/>
    <cellStyle name="40% - Accent2 2 3 5 4" xfId="10449" xr:uid="{F9547051-F3C0-4404-8B21-E43D6AE6188D}"/>
    <cellStyle name="40% - Accent2 2 3 5 5" xfId="18890" xr:uid="{CE3ECA1B-DC80-47ED-A3AD-2C816FBD6536}"/>
    <cellStyle name="40% - Accent2 2 3 6" xfId="2324" xr:uid="{00000000-0005-0000-0000-00009C040000}"/>
    <cellStyle name="40% - Accent2 2 3 6 2" xfId="6630" xr:uid="{00000000-0005-0000-0000-00009D040000}"/>
    <cellStyle name="40% - Accent2 2 3 6 2 2" xfId="15080" xr:uid="{DFE9F2A9-A67A-453A-BC15-1F19AE7917D9}"/>
    <cellStyle name="40% - Accent2 2 3 6 2 3" xfId="23520" xr:uid="{7C8A9250-C365-4E4E-9B7E-94ED171C085D}"/>
    <cellStyle name="40% - Accent2 2 3 6 3" xfId="10862" xr:uid="{803745F0-E424-4066-8924-2E425D457898}"/>
    <cellStyle name="40% - Accent2 2 3 6 4" xfId="19303" xr:uid="{5CCBF0AC-253C-4E37-9DD5-3CAEF5ADE8FC}"/>
    <cellStyle name="40% - Accent2 2 3 7" xfId="4564" xr:uid="{00000000-0005-0000-0000-00009E040000}"/>
    <cellStyle name="40% - Accent2 2 3 7 2" xfId="13014" xr:uid="{753D1EAE-E7AE-4139-A06E-09B142738377}"/>
    <cellStyle name="40% - Accent2 2 3 7 3" xfId="21454" xr:uid="{76F3B252-7BEF-4DB3-B5E8-0939306D7FA9}"/>
    <cellStyle name="40% - Accent2 2 3 8" xfId="8796" xr:uid="{7F782889-567B-4028-9F69-1F5E1500C83B}"/>
    <cellStyle name="40% - Accent2 2 3 9" xfId="17237" xr:uid="{27BFC24A-E6D5-49AA-85F6-EC677243BEC4}"/>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263E44DE-4B8E-4481-B1EE-856C44BCEFC7}"/>
    <cellStyle name="40% - Accent2 2 4 2 2 3" xfId="24010" xr:uid="{D9463CB2-72E7-4FDA-A8FD-95607BE976B2}"/>
    <cellStyle name="40% - Accent2 2 4 2 3" xfId="11352" xr:uid="{82373E76-A8E4-46F4-98BB-880B6D5018DA}"/>
    <cellStyle name="40% - Accent2 2 4 2 4" xfId="19793" xr:uid="{8FC62288-6D97-490A-AD1C-863D1BC5BED5}"/>
    <cellStyle name="40% - Accent2 2 4 3" xfId="4975" xr:uid="{00000000-0005-0000-0000-0000A2040000}"/>
    <cellStyle name="40% - Accent2 2 4 3 2" xfId="13425" xr:uid="{6027BC41-484E-453A-892B-FC07B60E4D24}"/>
    <cellStyle name="40% - Accent2 2 4 3 3" xfId="21865" xr:uid="{085D9595-9DA6-4E53-B158-B98396901EA3}"/>
    <cellStyle name="40% - Accent2 2 4 4" xfId="9207" xr:uid="{E80E6F0B-0359-4C83-BBBF-D5626AEF20FD}"/>
    <cellStyle name="40% - Accent2 2 4 5" xfId="17648" xr:uid="{9BC51ED9-7E15-42EB-BBB2-417B2B9E119B}"/>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C02B3D0A-8770-4F5B-AB66-151D5E7E974D}"/>
    <cellStyle name="40% - Accent2 2 5 2 2 3" xfId="24423" xr:uid="{ADF44022-456E-4C6C-90AB-CDD5CADF285E}"/>
    <cellStyle name="40% - Accent2 2 5 2 3" xfId="11765" xr:uid="{42933A4D-C178-4CE3-9241-57E295C2C8D9}"/>
    <cellStyle name="40% - Accent2 2 5 2 4" xfId="20206" xr:uid="{0D57669F-ABCA-4613-90FF-C45FE8201456}"/>
    <cellStyle name="40% - Accent2 2 5 3" xfId="5388" xr:uid="{00000000-0005-0000-0000-0000A6040000}"/>
    <cellStyle name="40% - Accent2 2 5 3 2" xfId="13838" xr:uid="{8AA0B61F-F5D8-4C7C-9BCF-09BA3B9CA9B0}"/>
    <cellStyle name="40% - Accent2 2 5 3 3" xfId="22278" xr:uid="{A0C25AB1-6256-48BA-BF3C-67A63DB61957}"/>
    <cellStyle name="40% - Accent2 2 5 4" xfId="9620" xr:uid="{D079E10A-C52E-41E0-9944-BB4466D51C2A}"/>
    <cellStyle name="40% - Accent2 2 5 5" xfId="18061" xr:uid="{C0496D69-07E7-41DF-A6BA-20E4FDC050E4}"/>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24B40331-CCA9-434B-9EB8-1FC2C9BF6E08}"/>
    <cellStyle name="40% - Accent2 2 6 2 2 3" xfId="24836" xr:uid="{29331574-5F27-4226-B43A-F79DA814FD3D}"/>
    <cellStyle name="40% - Accent2 2 6 2 3" xfId="12178" xr:uid="{343BFFF9-DA96-4794-94D9-299101DC5BD8}"/>
    <cellStyle name="40% - Accent2 2 6 2 4" xfId="20619" xr:uid="{B9BF9085-6CEC-4B3A-999D-48F5C03D3A6E}"/>
    <cellStyle name="40% - Accent2 2 6 3" xfId="5801" xr:uid="{00000000-0005-0000-0000-0000AA040000}"/>
    <cellStyle name="40% - Accent2 2 6 3 2" xfId="14251" xr:uid="{5ABF8C14-75A2-4256-A7F2-7D5F41AC2BCB}"/>
    <cellStyle name="40% - Accent2 2 6 3 3" xfId="22691" xr:uid="{4EF03430-1D83-4EB0-9C45-57AE5A17CE8C}"/>
    <cellStyle name="40% - Accent2 2 6 4" xfId="10033" xr:uid="{B3286F3F-80B3-4CBB-9BBC-37B531D8785B}"/>
    <cellStyle name="40% - Accent2 2 6 5" xfId="18474" xr:uid="{E377299A-C702-460C-8480-D0925B0B3AA8}"/>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CDD17B19-B6FE-4447-AF16-D1A58EFAFF85}"/>
    <cellStyle name="40% - Accent2 2 7 2 2 3" xfId="25249" xr:uid="{7FC94F9B-A2C1-4530-8D7F-1C75E2BA8C6A}"/>
    <cellStyle name="40% - Accent2 2 7 2 3" xfId="12591" xr:uid="{5B055622-90D2-4D2B-AE06-F055CD85D1EC}"/>
    <cellStyle name="40% - Accent2 2 7 2 4" xfId="21032" xr:uid="{B3323F3B-55D3-4E64-8CBA-E333AC9F22C9}"/>
    <cellStyle name="40% - Accent2 2 7 3" xfId="6214" xr:uid="{00000000-0005-0000-0000-0000AE040000}"/>
    <cellStyle name="40% - Accent2 2 7 3 2" xfId="14664" xr:uid="{BD17B344-41A0-462F-919C-F29F0ED5E9B1}"/>
    <cellStyle name="40% - Accent2 2 7 3 3" xfId="23104" xr:uid="{3AEAC68A-2C64-4831-825F-6B959E10B6F0}"/>
    <cellStyle name="40% - Accent2 2 7 4" xfId="10446" xr:uid="{6B064E9B-1499-4752-8361-A719B5BA2ACB}"/>
    <cellStyle name="40% - Accent2 2 7 5" xfId="18887" xr:uid="{51D580BF-A248-44DD-99DB-B96167384E6F}"/>
    <cellStyle name="40% - Accent2 2 8" xfId="2321" xr:uid="{00000000-0005-0000-0000-0000AF040000}"/>
    <cellStyle name="40% - Accent2 2 8 2" xfId="6627" xr:uid="{00000000-0005-0000-0000-0000B0040000}"/>
    <cellStyle name="40% - Accent2 2 8 2 2" xfId="15077" xr:uid="{D9FDDA99-3DC9-4DE6-A06D-AF015E351F95}"/>
    <cellStyle name="40% - Accent2 2 8 2 3" xfId="23517" xr:uid="{839F4B34-CB25-4847-873B-C2445836C615}"/>
    <cellStyle name="40% - Accent2 2 8 3" xfId="10859" xr:uid="{CFAB1B57-7D2C-4EBB-A0E5-3E6FBEABEF26}"/>
    <cellStyle name="40% - Accent2 2 8 4" xfId="19300" xr:uid="{D5559BBC-D215-43C5-9136-9B107BFD55AB}"/>
    <cellStyle name="40% - Accent2 2 9" xfId="4561" xr:uid="{00000000-0005-0000-0000-0000B1040000}"/>
    <cellStyle name="40% - Accent2 2 9 2" xfId="13011" xr:uid="{4248A2DD-F296-4CEC-A827-9ABED8BF419B}"/>
    <cellStyle name="40% - Accent2 2 9 3" xfId="21451" xr:uid="{76A1A11B-7183-4A33-BF13-D77C34859C05}"/>
    <cellStyle name="40% - Accent2 3" xfId="62" xr:uid="{00000000-0005-0000-0000-0000B2040000}"/>
    <cellStyle name="40% - Accent2 3 10" xfId="17238" xr:uid="{AAB5926B-9FCA-4E41-94D0-0D729FAD0989}"/>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A740AC41-3FBB-49E5-9408-CCEDF433AC3D}"/>
    <cellStyle name="40% - Accent2 3 2 2 2 2 3" xfId="24015" xr:uid="{B6B2D9CE-44C5-425E-AA4C-4E7E839EE166}"/>
    <cellStyle name="40% - Accent2 3 2 2 2 3" xfId="11357" xr:uid="{C7FAF146-92E0-406C-B4A3-3186F68AE046}"/>
    <cellStyle name="40% - Accent2 3 2 2 2 4" xfId="19798" xr:uid="{F6DA288D-A12E-44AA-B789-EADDB8B5572A}"/>
    <cellStyle name="40% - Accent2 3 2 2 3" xfId="4980" xr:uid="{00000000-0005-0000-0000-0000B7040000}"/>
    <cellStyle name="40% - Accent2 3 2 2 3 2" xfId="13430" xr:uid="{90692D00-9D7A-4C1F-B953-E7D6B0E3EF0E}"/>
    <cellStyle name="40% - Accent2 3 2 2 3 3" xfId="21870" xr:uid="{D2A7D73F-0698-44AC-AFCE-C17103F8E319}"/>
    <cellStyle name="40% - Accent2 3 2 2 4" xfId="9212" xr:uid="{8B9E765D-4837-468B-953E-F14475F1F60D}"/>
    <cellStyle name="40% - Accent2 3 2 2 5" xfId="17653" xr:uid="{591E0088-AADC-4EB4-87D1-04769515F478}"/>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67528C64-DC19-490E-8F2F-5F7B903B5C2C}"/>
    <cellStyle name="40% - Accent2 3 2 3 2 2 3" xfId="24428" xr:uid="{BA14CAEE-53D1-4EE7-A458-24F0B90B1283}"/>
    <cellStyle name="40% - Accent2 3 2 3 2 3" xfId="11770" xr:uid="{FDFBD8C7-3D63-4473-A62F-0663D3066E6D}"/>
    <cellStyle name="40% - Accent2 3 2 3 2 4" xfId="20211" xr:uid="{BB9092F4-AB44-455F-958E-F83783832182}"/>
    <cellStyle name="40% - Accent2 3 2 3 3" xfId="5393" xr:uid="{00000000-0005-0000-0000-0000BB040000}"/>
    <cellStyle name="40% - Accent2 3 2 3 3 2" xfId="13843" xr:uid="{E606D7AE-FF00-4B0C-9342-454556316A2A}"/>
    <cellStyle name="40% - Accent2 3 2 3 3 3" xfId="22283" xr:uid="{B9AC1B02-2816-4488-96C5-EF855A1F24EA}"/>
    <cellStyle name="40% - Accent2 3 2 3 4" xfId="9625" xr:uid="{8525EB12-9B27-4C82-AD5A-28563D4D683C}"/>
    <cellStyle name="40% - Accent2 3 2 3 5" xfId="18066" xr:uid="{6466BF8A-8677-4539-B12B-2E2B13D58F2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779BE5BF-9BAA-4E59-98A7-309CE32C8993}"/>
    <cellStyle name="40% - Accent2 3 2 4 2 2 3" xfId="24841" xr:uid="{5C50DBD0-1F04-4B64-BBB5-8BF08337689C}"/>
    <cellStyle name="40% - Accent2 3 2 4 2 3" xfId="12183" xr:uid="{6325257E-4D0C-4533-8E50-F2C6F25F9E3B}"/>
    <cellStyle name="40% - Accent2 3 2 4 2 4" xfId="20624" xr:uid="{6FFE1A83-86FC-4A69-99A7-2B5C6D9211B3}"/>
    <cellStyle name="40% - Accent2 3 2 4 3" xfId="5806" xr:uid="{00000000-0005-0000-0000-0000BF040000}"/>
    <cellStyle name="40% - Accent2 3 2 4 3 2" xfId="14256" xr:uid="{C421ACEC-4868-4076-9BFC-5D988802B37E}"/>
    <cellStyle name="40% - Accent2 3 2 4 3 3" xfId="22696" xr:uid="{E5B4CB53-962D-4D65-ABB4-14C49D756707}"/>
    <cellStyle name="40% - Accent2 3 2 4 4" xfId="10038" xr:uid="{8CD032A1-1B93-49EC-BD61-2E15C69DB935}"/>
    <cellStyle name="40% - Accent2 3 2 4 5" xfId="18479" xr:uid="{9C391217-65A1-4C4C-A684-FA94D408C8D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C440F7E2-7290-49AA-9840-09EC669443B4}"/>
    <cellStyle name="40% - Accent2 3 2 5 2 2 3" xfId="25254" xr:uid="{8A9C0BED-C973-467F-AFC6-895D352E547A}"/>
    <cellStyle name="40% - Accent2 3 2 5 2 3" xfId="12596" xr:uid="{BF65834C-EECF-42E6-B40D-D69116B1716D}"/>
    <cellStyle name="40% - Accent2 3 2 5 2 4" xfId="21037" xr:uid="{8C16C77F-35AF-4D41-A07A-8B3B01C7636E}"/>
    <cellStyle name="40% - Accent2 3 2 5 3" xfId="6219" xr:uid="{00000000-0005-0000-0000-0000C3040000}"/>
    <cellStyle name="40% - Accent2 3 2 5 3 2" xfId="14669" xr:uid="{C9A7B7E4-2B04-4699-AD75-2DFC50C7ABC2}"/>
    <cellStyle name="40% - Accent2 3 2 5 3 3" xfId="23109" xr:uid="{3FDD6B15-A471-4154-8182-1FB63B858606}"/>
    <cellStyle name="40% - Accent2 3 2 5 4" xfId="10451" xr:uid="{2B8C254E-EE39-4EB9-A26B-79E668438527}"/>
    <cellStyle name="40% - Accent2 3 2 5 5" xfId="18892" xr:uid="{28687BF3-3D2F-4AC9-BB5D-3077DBE5406E}"/>
    <cellStyle name="40% - Accent2 3 2 6" xfId="2326" xr:uid="{00000000-0005-0000-0000-0000C4040000}"/>
    <cellStyle name="40% - Accent2 3 2 6 2" xfId="6632" xr:uid="{00000000-0005-0000-0000-0000C5040000}"/>
    <cellStyle name="40% - Accent2 3 2 6 2 2" xfId="15082" xr:uid="{1BDF8AF5-92E1-42FA-A459-5922A68333B0}"/>
    <cellStyle name="40% - Accent2 3 2 6 2 3" xfId="23522" xr:uid="{FB97F86B-FC08-4046-B401-09F8DCFF6406}"/>
    <cellStyle name="40% - Accent2 3 2 6 3" xfId="10864" xr:uid="{1473BDB8-8B98-4E70-9F26-72E3BFF871B3}"/>
    <cellStyle name="40% - Accent2 3 2 6 4" xfId="19305" xr:uid="{6E22CCB6-0116-4003-A6DD-C366C9FF9FB1}"/>
    <cellStyle name="40% - Accent2 3 2 7" xfId="4566" xr:uid="{00000000-0005-0000-0000-0000C6040000}"/>
    <cellStyle name="40% - Accent2 3 2 7 2" xfId="13016" xr:uid="{E153FF0F-F6FD-4E79-ADE2-4DB485CBA31E}"/>
    <cellStyle name="40% - Accent2 3 2 7 3" xfId="21456" xr:uid="{3B065E5C-22D5-4CAA-A120-F2163F78FD4A}"/>
    <cellStyle name="40% - Accent2 3 2 8" xfId="8798" xr:uid="{E2ECC517-887E-40C1-B47A-881D663F471F}"/>
    <cellStyle name="40% - Accent2 3 2 9" xfId="17239" xr:uid="{4385F2A5-2F30-4333-8CCD-305A020795D5}"/>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19B1776C-AABA-4A92-9631-6DA2004CE76A}"/>
    <cellStyle name="40% - Accent2 3 3 2 2 3" xfId="24014" xr:uid="{8391B7B2-9886-4F3D-AFA3-1947DD96653E}"/>
    <cellStyle name="40% - Accent2 3 3 2 3" xfId="11356" xr:uid="{67B13EF6-B1A2-4BDB-8D86-54C99D49096D}"/>
    <cellStyle name="40% - Accent2 3 3 2 4" xfId="19797" xr:uid="{83877585-3702-4624-ADC6-4CF55339DE23}"/>
    <cellStyle name="40% - Accent2 3 3 3" xfId="4979" xr:uid="{00000000-0005-0000-0000-0000CA040000}"/>
    <cellStyle name="40% - Accent2 3 3 3 2" xfId="13429" xr:uid="{8BBAAD30-9354-490B-B487-72CA9380C7AD}"/>
    <cellStyle name="40% - Accent2 3 3 3 3" xfId="21869" xr:uid="{9C8E0B19-55D9-45A0-A88C-1A9B63BA3E47}"/>
    <cellStyle name="40% - Accent2 3 3 4" xfId="9211" xr:uid="{98961A93-275A-4B32-842A-055C2BA4BAF4}"/>
    <cellStyle name="40% - Accent2 3 3 5" xfId="17652" xr:uid="{A448CC09-14D2-428F-942B-2CBDC355EA20}"/>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6BF4E2ED-846A-42EA-BB44-5A47D7A84241}"/>
    <cellStyle name="40% - Accent2 3 4 2 2 3" xfId="24427" xr:uid="{54402858-D9CB-4E3E-B8BE-E740FA134F58}"/>
    <cellStyle name="40% - Accent2 3 4 2 3" xfId="11769" xr:uid="{DE64FA0F-7148-4F35-A4C0-03C27F814B12}"/>
    <cellStyle name="40% - Accent2 3 4 2 4" xfId="20210" xr:uid="{9D40BF81-279F-4AB3-9AB8-122D9D257891}"/>
    <cellStyle name="40% - Accent2 3 4 3" xfId="5392" xr:uid="{00000000-0005-0000-0000-0000CE040000}"/>
    <cellStyle name="40% - Accent2 3 4 3 2" xfId="13842" xr:uid="{62A47C3E-BDBC-4408-9EE3-80037C15C403}"/>
    <cellStyle name="40% - Accent2 3 4 3 3" xfId="22282" xr:uid="{C25EAB56-5AE9-44D3-8966-DE926B0ECB6B}"/>
    <cellStyle name="40% - Accent2 3 4 4" xfId="9624" xr:uid="{CF0EC5F3-4CFE-407A-8A2A-1C349B9ADB74}"/>
    <cellStyle name="40% - Accent2 3 4 5" xfId="18065" xr:uid="{D7915DE7-3074-4BCA-B63A-772FD435199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3E5D50ED-7F28-456A-B2B4-FFB00B4D31C8}"/>
    <cellStyle name="40% - Accent2 3 5 2 2 3" xfId="24840" xr:uid="{8C1E2801-9685-444F-B51A-348B4E27C838}"/>
    <cellStyle name="40% - Accent2 3 5 2 3" xfId="12182" xr:uid="{371D5BDE-16CD-4ECB-B331-5D85FB13212B}"/>
    <cellStyle name="40% - Accent2 3 5 2 4" xfId="20623" xr:uid="{3F05F061-8F1D-4A43-965E-F9E905D48DFE}"/>
    <cellStyle name="40% - Accent2 3 5 3" xfId="5805" xr:uid="{00000000-0005-0000-0000-0000D2040000}"/>
    <cellStyle name="40% - Accent2 3 5 3 2" xfId="14255" xr:uid="{C28BFE8B-9940-49F8-A6C4-DC99A6FA5112}"/>
    <cellStyle name="40% - Accent2 3 5 3 3" xfId="22695" xr:uid="{96797B32-C7E8-4363-8C17-1B05F874F796}"/>
    <cellStyle name="40% - Accent2 3 5 4" xfId="10037" xr:uid="{5F3426D3-73E2-4EC9-92F2-0EA8512030F9}"/>
    <cellStyle name="40% - Accent2 3 5 5" xfId="18478" xr:uid="{99C75277-E5C5-40A4-B03F-5A71457AEE3E}"/>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54539A44-A651-4FD2-BDCA-E50422AD3042}"/>
    <cellStyle name="40% - Accent2 3 6 2 2 3" xfId="25253" xr:uid="{E1E868DD-542C-4CFE-874E-03DFFBA80A87}"/>
    <cellStyle name="40% - Accent2 3 6 2 3" xfId="12595" xr:uid="{B374AA86-427A-4DC1-8824-B1B21387132B}"/>
    <cellStyle name="40% - Accent2 3 6 2 4" xfId="21036" xr:uid="{96D474E1-7019-4230-A9DA-893113DD179F}"/>
    <cellStyle name="40% - Accent2 3 6 3" xfId="6218" xr:uid="{00000000-0005-0000-0000-0000D6040000}"/>
    <cellStyle name="40% - Accent2 3 6 3 2" xfId="14668" xr:uid="{CD3354A2-1CDB-4A5C-A1F6-D250B468A5F5}"/>
    <cellStyle name="40% - Accent2 3 6 3 3" xfId="23108" xr:uid="{01D494CE-C701-4495-8AD1-F37E31E1DA7B}"/>
    <cellStyle name="40% - Accent2 3 6 4" xfId="10450" xr:uid="{D82117B7-26E9-48C2-A1F4-FD9966551A9D}"/>
    <cellStyle name="40% - Accent2 3 6 5" xfId="18891" xr:uid="{1FD9EBDC-B098-4AE3-8D18-8DCB4E213928}"/>
    <cellStyle name="40% - Accent2 3 7" xfId="2325" xr:uid="{00000000-0005-0000-0000-0000D7040000}"/>
    <cellStyle name="40% - Accent2 3 7 2" xfId="6631" xr:uid="{00000000-0005-0000-0000-0000D8040000}"/>
    <cellStyle name="40% - Accent2 3 7 2 2" xfId="15081" xr:uid="{8912B968-8140-491C-9507-2891B760546E}"/>
    <cellStyle name="40% - Accent2 3 7 2 3" xfId="23521" xr:uid="{632A3895-41FF-4C1B-9C72-FB1DC5FE5566}"/>
    <cellStyle name="40% - Accent2 3 7 3" xfId="10863" xr:uid="{DC523C8F-9748-4EA3-BA48-F72067421D32}"/>
    <cellStyle name="40% - Accent2 3 7 4" xfId="19304" xr:uid="{CF51A6CE-043C-4944-83AB-A196073762D8}"/>
    <cellStyle name="40% - Accent2 3 8" xfId="4565" xr:uid="{00000000-0005-0000-0000-0000D9040000}"/>
    <cellStyle name="40% - Accent2 3 8 2" xfId="13015" xr:uid="{EC6ABBE5-29C5-45B2-A70A-533D2756BA66}"/>
    <cellStyle name="40% - Accent2 3 8 3" xfId="21455" xr:uid="{2DD6A0A9-2423-4457-81EE-B68D465F7302}"/>
    <cellStyle name="40% - Accent2 3 9" xfId="8797" xr:uid="{5DE2A3D0-69DB-4DF0-BA98-5EAE50641987}"/>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6931CB3A-B372-4D66-884E-A75E89D6AC5A}"/>
    <cellStyle name="40% - Accent2 4 2 2 2 3" xfId="24016" xr:uid="{0476D3CE-388E-4B40-AD7B-9D2A4A4D8225}"/>
    <cellStyle name="40% - Accent2 4 2 2 3" xfId="11358" xr:uid="{F63D5455-BCD0-41E2-A49D-3C17BCD60A47}"/>
    <cellStyle name="40% - Accent2 4 2 2 4" xfId="19799" xr:uid="{D8740B1B-21B8-493D-8F69-909D24E60783}"/>
    <cellStyle name="40% - Accent2 4 2 3" xfId="4981" xr:uid="{00000000-0005-0000-0000-0000DE040000}"/>
    <cellStyle name="40% - Accent2 4 2 3 2" xfId="13431" xr:uid="{FCB4CCC3-2FF0-402B-A8F0-BB49D6790169}"/>
    <cellStyle name="40% - Accent2 4 2 3 3" xfId="21871" xr:uid="{496E0173-245A-4EDB-A996-236127CDF19B}"/>
    <cellStyle name="40% - Accent2 4 2 4" xfId="9213" xr:uid="{FDD1C5F1-4838-47F4-A3EA-68892C80E129}"/>
    <cellStyle name="40% - Accent2 4 2 5" xfId="17654" xr:uid="{55D88415-C93E-498D-BDDC-832C33DD0174}"/>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EE18FFD7-ACAD-4C80-AFB4-48C9BFD49B45}"/>
    <cellStyle name="40% - Accent2 4 3 2 2 3" xfId="24429" xr:uid="{DC8925C9-BE4A-45C1-BDD8-77937490FDC8}"/>
    <cellStyle name="40% - Accent2 4 3 2 3" xfId="11771" xr:uid="{4CF3BB91-F666-46D0-958C-CE173FDAF4B8}"/>
    <cellStyle name="40% - Accent2 4 3 2 4" xfId="20212" xr:uid="{D0010BE0-2766-4CFF-9DF2-50B70055F740}"/>
    <cellStyle name="40% - Accent2 4 3 3" xfId="5394" xr:uid="{00000000-0005-0000-0000-0000E2040000}"/>
    <cellStyle name="40% - Accent2 4 3 3 2" xfId="13844" xr:uid="{630740B4-3B1A-44E5-9B52-05081FF171FD}"/>
    <cellStyle name="40% - Accent2 4 3 3 3" xfId="22284" xr:uid="{32E53B0D-03D2-4E6D-A157-8156353CE8ED}"/>
    <cellStyle name="40% - Accent2 4 3 4" xfId="9626" xr:uid="{956C6504-0A2F-4E6E-8C22-BCBF9E12BAAC}"/>
    <cellStyle name="40% - Accent2 4 3 5" xfId="18067" xr:uid="{EEAB60AC-D231-43FA-8855-AC6D34377084}"/>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4BC201CC-857A-4259-9427-4D90AEFFCF5C}"/>
    <cellStyle name="40% - Accent2 4 4 2 2 3" xfId="24842" xr:uid="{FB8EF7F1-7AF5-45D9-ACBD-0767F0ECC2E2}"/>
    <cellStyle name="40% - Accent2 4 4 2 3" xfId="12184" xr:uid="{549F80FC-EB17-4B0B-B70F-FDC4778B3510}"/>
    <cellStyle name="40% - Accent2 4 4 2 4" xfId="20625" xr:uid="{17B5D005-DF63-4A28-9051-D01C2EFC5C06}"/>
    <cellStyle name="40% - Accent2 4 4 3" xfId="5807" xr:uid="{00000000-0005-0000-0000-0000E6040000}"/>
    <cellStyle name="40% - Accent2 4 4 3 2" xfId="14257" xr:uid="{1F21522F-313E-4FC7-A5ED-C9A7BDBFEB75}"/>
    <cellStyle name="40% - Accent2 4 4 3 3" xfId="22697" xr:uid="{CAACCCAF-EB09-4379-B78A-E0758AF96AF2}"/>
    <cellStyle name="40% - Accent2 4 4 4" xfId="10039" xr:uid="{73F7C445-FFA0-4ECC-A14F-444389664EEC}"/>
    <cellStyle name="40% - Accent2 4 4 5" xfId="18480" xr:uid="{7D04E882-1B36-4880-A63E-E0D38177CD2B}"/>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58FB04CA-FBCB-4562-A617-12072208D3CC}"/>
    <cellStyle name="40% - Accent2 4 5 2 2 3" xfId="25255" xr:uid="{93616F3E-1864-4900-A871-358E1D5A7A99}"/>
    <cellStyle name="40% - Accent2 4 5 2 3" xfId="12597" xr:uid="{F4438B4B-EE7D-46CA-A35F-08241E4ED898}"/>
    <cellStyle name="40% - Accent2 4 5 2 4" xfId="21038" xr:uid="{95C3800D-0CFA-4AD6-916C-2FD8EBED4D83}"/>
    <cellStyle name="40% - Accent2 4 5 3" xfId="6220" xr:uid="{00000000-0005-0000-0000-0000EA040000}"/>
    <cellStyle name="40% - Accent2 4 5 3 2" xfId="14670" xr:uid="{145898D9-26D0-4E52-9803-EBEE6B37CEE3}"/>
    <cellStyle name="40% - Accent2 4 5 3 3" xfId="23110" xr:uid="{5D279776-0B72-4663-83AC-4F5DAF6BB3E7}"/>
    <cellStyle name="40% - Accent2 4 5 4" xfId="10452" xr:uid="{3A04DAE0-CC05-4CCA-B797-353D1650E458}"/>
    <cellStyle name="40% - Accent2 4 5 5" xfId="18893" xr:uid="{A8B8C56F-AF4D-4DCF-8046-EA563E71507F}"/>
    <cellStyle name="40% - Accent2 4 6" xfId="2327" xr:uid="{00000000-0005-0000-0000-0000EB040000}"/>
    <cellStyle name="40% - Accent2 4 6 2" xfId="6633" xr:uid="{00000000-0005-0000-0000-0000EC040000}"/>
    <cellStyle name="40% - Accent2 4 6 2 2" xfId="15083" xr:uid="{9727B70C-3FE1-4B8B-8D4B-9FC04ED570DE}"/>
    <cellStyle name="40% - Accent2 4 6 2 3" xfId="23523" xr:uid="{D8630EF1-7E3E-418C-8159-9582A3665A46}"/>
    <cellStyle name="40% - Accent2 4 6 3" xfId="10865" xr:uid="{07B718FF-34A3-4444-B28A-32580301EA90}"/>
    <cellStyle name="40% - Accent2 4 6 4" xfId="19306" xr:uid="{B184035B-A8EF-4560-BB4A-B3DBE93FAC29}"/>
    <cellStyle name="40% - Accent2 4 7" xfId="4567" xr:uid="{00000000-0005-0000-0000-0000ED040000}"/>
    <cellStyle name="40% - Accent2 4 7 2" xfId="13017" xr:uid="{E9672722-2FBF-4D31-BE86-80EE6506A3CC}"/>
    <cellStyle name="40% - Accent2 4 7 3" xfId="21457" xr:uid="{E70E5265-6B26-4839-87EF-D6659976E51B}"/>
    <cellStyle name="40% - Accent2 4 8" xfId="8799" xr:uid="{01C0AFC3-6916-4520-82A8-7D63851D0068}"/>
    <cellStyle name="40% - Accent2 4 9" xfId="17240" xr:uid="{7C4F82E0-531D-490A-8508-DC213CD5B593}"/>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95AD4FC1-1F9F-40CC-B103-AFBF922A140B}"/>
    <cellStyle name="40% - Accent2 5 2 2 3" xfId="24009" xr:uid="{34411945-1852-4460-A7BF-D2C94BAF3E0B}"/>
    <cellStyle name="40% - Accent2 5 2 3" xfId="11351" xr:uid="{F3153A36-DA22-45F1-967A-1916EE1F3031}"/>
    <cellStyle name="40% - Accent2 5 2 4" xfId="19792" xr:uid="{DD0F5A1F-BF27-418D-BC48-BEDF0ACD18A0}"/>
    <cellStyle name="40% - Accent2 5 3" xfId="4974" xr:uid="{00000000-0005-0000-0000-0000F1040000}"/>
    <cellStyle name="40% - Accent2 5 3 2" xfId="13424" xr:uid="{27A053A1-6DDF-414C-9CAB-772494D781C0}"/>
    <cellStyle name="40% - Accent2 5 3 3" xfId="21864" xr:uid="{94A6E421-6396-43BC-BFCE-3DBBC4728000}"/>
    <cellStyle name="40% - Accent2 5 4" xfId="9206" xr:uid="{15F47F22-D03B-42EF-A54E-37A2D845DD57}"/>
    <cellStyle name="40% - Accent2 5 5" xfId="17647" xr:uid="{4816E981-5FE3-4AAA-A606-69780021DFA9}"/>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9F96E9E5-8DE4-4366-8FA2-9B18825F26A3}"/>
    <cellStyle name="40% - Accent2 6 2 2 3" xfId="24422" xr:uid="{6A89EA89-4DAA-4B3F-A493-4912511E17E2}"/>
    <cellStyle name="40% - Accent2 6 2 3" xfId="11764" xr:uid="{02527EA9-5375-403D-BD13-F52B80ED9393}"/>
    <cellStyle name="40% - Accent2 6 2 4" xfId="20205" xr:uid="{940A3F0E-4F7F-45B1-9941-A050CA267C82}"/>
    <cellStyle name="40% - Accent2 6 3" xfId="5387" xr:uid="{00000000-0005-0000-0000-0000F5040000}"/>
    <cellStyle name="40% - Accent2 6 3 2" xfId="13837" xr:uid="{31E8797A-A94D-47AC-96B6-50581537788F}"/>
    <cellStyle name="40% - Accent2 6 3 3" xfId="22277" xr:uid="{3ADEEC82-690F-444D-ACA6-B0654355E3C6}"/>
    <cellStyle name="40% - Accent2 6 4" xfId="9619" xr:uid="{C64C9D43-5DDA-4182-A0B3-030D3C124875}"/>
    <cellStyle name="40% - Accent2 6 5" xfId="18060" xr:uid="{793FEE1D-AF4D-48CB-949B-E2237C21F002}"/>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9E7423B8-6B75-4F0D-9B10-C77D9D4F08FF}"/>
    <cellStyle name="40% - Accent2 7 2 2 3" xfId="24835" xr:uid="{4265031D-6E8E-449F-AD0F-2F217D9A2237}"/>
    <cellStyle name="40% - Accent2 7 2 3" xfId="12177" xr:uid="{2F49BB54-8172-4D0E-9F57-694FC828C093}"/>
    <cellStyle name="40% - Accent2 7 2 4" xfId="20618" xr:uid="{C7A802A2-9285-4863-9A05-2690FDAEE9F6}"/>
    <cellStyle name="40% - Accent2 7 3" xfId="5800" xr:uid="{00000000-0005-0000-0000-0000F9040000}"/>
    <cellStyle name="40% - Accent2 7 3 2" xfId="14250" xr:uid="{34A9B734-14D2-4A32-991F-16BCBFA7335A}"/>
    <cellStyle name="40% - Accent2 7 3 3" xfId="22690" xr:uid="{4314A33C-0E65-4A99-8782-A81F95EC28A0}"/>
    <cellStyle name="40% - Accent2 7 4" xfId="10032" xr:uid="{768C84F7-A455-46CF-9819-B5EB9B843D10}"/>
    <cellStyle name="40% - Accent2 7 5" xfId="18473" xr:uid="{6F52D4F6-AF7F-40FF-9B6A-E1B5DD576550}"/>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34794332-3F48-4977-B229-FFF175ECE2CE}"/>
    <cellStyle name="40% - Accent2 8 2 2 3" xfId="25248" xr:uid="{0156E99F-E015-4A37-9DDB-032656BAA43C}"/>
    <cellStyle name="40% - Accent2 8 2 3" xfId="12590" xr:uid="{AF1F4F8D-A339-4AB3-A4A7-BEA0F56397AA}"/>
    <cellStyle name="40% - Accent2 8 2 4" xfId="21031" xr:uid="{2C056F6D-240A-49BB-96C5-CAB16D9C7E93}"/>
    <cellStyle name="40% - Accent2 8 3" xfId="6213" xr:uid="{00000000-0005-0000-0000-0000FD040000}"/>
    <cellStyle name="40% - Accent2 8 3 2" xfId="14663" xr:uid="{C6F80F6C-FC6D-4284-997C-AB1D28EC8DA5}"/>
    <cellStyle name="40% - Accent2 8 3 3" xfId="23103" xr:uid="{8CB51BEC-2164-4004-B3B4-ECD29ADF9F0D}"/>
    <cellStyle name="40% - Accent2 8 4" xfId="10445" xr:uid="{52B908F8-E3FD-41AD-B225-65F71D550F58}"/>
    <cellStyle name="40% - Accent2 8 5" xfId="18886" xr:uid="{A91B1419-7A64-40C4-9B4E-D7E5A893B88F}"/>
    <cellStyle name="40% - Accent2 9" xfId="2320" xr:uid="{00000000-0005-0000-0000-0000FE040000}"/>
    <cellStyle name="40% - Accent2 9 2" xfId="6626" xr:uid="{00000000-0005-0000-0000-0000FF040000}"/>
    <cellStyle name="40% - Accent2 9 2 2" xfId="15076" xr:uid="{5E1369A6-4F69-4FA9-942C-6FBB9A0FA0BB}"/>
    <cellStyle name="40% - Accent2 9 2 3" xfId="23516" xr:uid="{EEDEB01B-15A9-4621-A0B7-6695F9468134}"/>
    <cellStyle name="40% - Accent2 9 3" xfId="10858" xr:uid="{38F6CF70-B929-4CD1-95DC-D6E8BCB1F156}"/>
    <cellStyle name="40% - Accent2 9 4" xfId="19299" xr:uid="{97D84BAA-BA7C-41BD-AFD6-8BAC5CEC59EF}"/>
    <cellStyle name="40% - Accent3" xfId="65" builtinId="39" customBuiltin="1"/>
    <cellStyle name="40% - Accent3 10" xfId="4568" xr:uid="{00000000-0005-0000-0000-000001050000}"/>
    <cellStyle name="40% - Accent3 10 2" xfId="13018" xr:uid="{ACD7A6BF-027B-4C89-88F9-981569DEF620}"/>
    <cellStyle name="40% - Accent3 10 3" xfId="21458" xr:uid="{0D4A3120-941C-4055-8E0C-4AAF395F115C}"/>
    <cellStyle name="40% - Accent3 11" xfId="8800" xr:uid="{F8A7351D-C958-42EF-8AB5-4FAAFE0ABB06}"/>
    <cellStyle name="40% - Accent3 12" xfId="17241" xr:uid="{599FF954-2749-4A7A-AAE7-FA70DDFFD7B6}"/>
    <cellStyle name="40% - Accent3 2" xfId="66" xr:uid="{00000000-0005-0000-0000-000002050000}"/>
    <cellStyle name="40% - Accent3 2 10" xfId="8801" xr:uid="{049D9DB0-428F-4507-8363-38CFDDFD7140}"/>
    <cellStyle name="40% - Accent3 2 11" xfId="17242" xr:uid="{4DC86206-13BB-47F0-A5DD-98BFAC809624}"/>
    <cellStyle name="40% - Accent3 2 2" xfId="67" xr:uid="{00000000-0005-0000-0000-000003050000}"/>
    <cellStyle name="40% - Accent3 2 2 10" xfId="17243" xr:uid="{56680CA3-BD78-4698-A3BC-F6D6574FD9EE}"/>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E05D4BAA-A620-4AF1-91F4-7B912E464D0D}"/>
    <cellStyle name="40% - Accent3 2 2 2 2 2 2 3" xfId="24020" xr:uid="{85F92326-8A0B-4B14-834D-C467BC70EC96}"/>
    <cellStyle name="40% - Accent3 2 2 2 2 2 3" xfId="11362" xr:uid="{FDCAAE4C-0420-40B7-8DAA-F51460E0DDFC}"/>
    <cellStyle name="40% - Accent3 2 2 2 2 2 4" xfId="19803" xr:uid="{2663AA3A-D86D-41DD-A6AA-FFF83E5E79E6}"/>
    <cellStyle name="40% - Accent3 2 2 2 2 3" xfId="4985" xr:uid="{00000000-0005-0000-0000-000008050000}"/>
    <cellStyle name="40% - Accent3 2 2 2 2 3 2" xfId="13435" xr:uid="{47ED705B-6524-4637-9CAA-40BDEE2C099E}"/>
    <cellStyle name="40% - Accent3 2 2 2 2 3 3" xfId="21875" xr:uid="{CBDE8376-B45C-4A98-8042-69BA0D8A898C}"/>
    <cellStyle name="40% - Accent3 2 2 2 2 4" xfId="9217" xr:uid="{FE709892-2EC5-452A-8DF6-3945A83D8F77}"/>
    <cellStyle name="40% - Accent3 2 2 2 2 5" xfId="17658" xr:uid="{52152D3C-947B-4454-91BD-1C910FF0698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B0162A2E-5B90-4680-A5F2-A07077525B66}"/>
    <cellStyle name="40% - Accent3 2 2 2 3 2 2 3" xfId="24433" xr:uid="{44FEA850-9982-4A9D-93AD-7A0467CC6B12}"/>
    <cellStyle name="40% - Accent3 2 2 2 3 2 3" xfId="11775" xr:uid="{E880B6B6-95ED-487A-80AF-74BDCEF1A89B}"/>
    <cellStyle name="40% - Accent3 2 2 2 3 2 4" xfId="20216" xr:uid="{8D60C99F-C8C0-4845-8509-495700EDA95E}"/>
    <cellStyle name="40% - Accent3 2 2 2 3 3" xfId="5398" xr:uid="{00000000-0005-0000-0000-00000C050000}"/>
    <cellStyle name="40% - Accent3 2 2 2 3 3 2" xfId="13848" xr:uid="{53CF203F-E27C-4316-BBCA-949353B36038}"/>
    <cellStyle name="40% - Accent3 2 2 2 3 3 3" xfId="22288" xr:uid="{7D47B0CF-FEAE-49F9-B76C-8F3C6197021A}"/>
    <cellStyle name="40% - Accent3 2 2 2 3 4" xfId="9630" xr:uid="{265A7D69-BCA1-4E51-AF22-0C2B8187ABDC}"/>
    <cellStyle name="40% - Accent3 2 2 2 3 5" xfId="18071" xr:uid="{DE37DBD2-E6C9-4209-BF82-58309E3ECDB5}"/>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24E82EE8-0DFC-40DC-8C27-E80DBBA7D828}"/>
    <cellStyle name="40% - Accent3 2 2 2 4 2 2 3" xfId="24846" xr:uid="{DA242F4D-8B08-4DB5-B2DA-A0F49691086E}"/>
    <cellStyle name="40% - Accent3 2 2 2 4 2 3" xfId="12188" xr:uid="{F37B43F8-3102-435E-BA05-53987FD0D011}"/>
    <cellStyle name="40% - Accent3 2 2 2 4 2 4" xfId="20629" xr:uid="{A84E9BAE-69DB-4A6A-9DF0-032FDF3DE96A}"/>
    <cellStyle name="40% - Accent3 2 2 2 4 3" xfId="5811" xr:uid="{00000000-0005-0000-0000-000010050000}"/>
    <cellStyle name="40% - Accent3 2 2 2 4 3 2" xfId="14261" xr:uid="{8840A1A4-078F-4357-87F2-B6C2BF073D1F}"/>
    <cellStyle name="40% - Accent3 2 2 2 4 3 3" xfId="22701" xr:uid="{CAF06DA0-09AB-4398-A2DA-913C936DFFAE}"/>
    <cellStyle name="40% - Accent3 2 2 2 4 4" xfId="10043" xr:uid="{F99D1230-CEA5-42CE-A581-2324F329F539}"/>
    <cellStyle name="40% - Accent3 2 2 2 4 5" xfId="18484" xr:uid="{6BC5E9BB-6B90-4153-BE95-DFEF62777CD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AD799185-522B-427A-B77A-B26BB3B93457}"/>
    <cellStyle name="40% - Accent3 2 2 2 5 2 2 3" xfId="25259" xr:uid="{D3D3C1D3-4EBF-4BF7-9D89-1A19BE3ABFD9}"/>
    <cellStyle name="40% - Accent3 2 2 2 5 2 3" xfId="12601" xr:uid="{66EAFB0B-944C-412A-95D9-A29742D7E81E}"/>
    <cellStyle name="40% - Accent3 2 2 2 5 2 4" xfId="21042" xr:uid="{98AF95A1-3CAD-4D8C-9853-B0174F917DBA}"/>
    <cellStyle name="40% - Accent3 2 2 2 5 3" xfId="6224" xr:uid="{00000000-0005-0000-0000-000014050000}"/>
    <cellStyle name="40% - Accent3 2 2 2 5 3 2" xfId="14674" xr:uid="{729DA592-AA00-411E-9806-252FA5F8A3C7}"/>
    <cellStyle name="40% - Accent3 2 2 2 5 3 3" xfId="23114" xr:uid="{9A9DFEB4-0D3A-4B04-A228-F13D420B1337}"/>
    <cellStyle name="40% - Accent3 2 2 2 5 4" xfId="10456" xr:uid="{FB312901-26D1-4C84-B703-2BCB94D74CFA}"/>
    <cellStyle name="40% - Accent3 2 2 2 5 5" xfId="18897" xr:uid="{A8EC2DE6-C503-4612-99C3-3BC15D592FD2}"/>
    <cellStyle name="40% - Accent3 2 2 2 6" xfId="2331" xr:uid="{00000000-0005-0000-0000-000015050000}"/>
    <cellStyle name="40% - Accent3 2 2 2 6 2" xfId="6637" xr:uid="{00000000-0005-0000-0000-000016050000}"/>
    <cellStyle name="40% - Accent3 2 2 2 6 2 2" xfId="15087" xr:uid="{4D25A6F1-A2C5-49FA-BE41-2D1B12B64015}"/>
    <cellStyle name="40% - Accent3 2 2 2 6 2 3" xfId="23527" xr:uid="{78BC5D8B-1DAF-41E4-A36B-F020B8CB8772}"/>
    <cellStyle name="40% - Accent3 2 2 2 6 3" xfId="10869" xr:uid="{0EB66990-6D68-45B9-BDF3-FEA014810F34}"/>
    <cellStyle name="40% - Accent3 2 2 2 6 4" xfId="19310" xr:uid="{598F1CD9-6BFC-4372-B677-D2479B911F93}"/>
    <cellStyle name="40% - Accent3 2 2 2 7" xfId="4571" xr:uid="{00000000-0005-0000-0000-000017050000}"/>
    <cellStyle name="40% - Accent3 2 2 2 7 2" xfId="13021" xr:uid="{8E5B87EE-0E4F-4806-8B40-BD4E0B9E7338}"/>
    <cellStyle name="40% - Accent3 2 2 2 7 3" xfId="21461" xr:uid="{730AADE9-2D3F-4953-975A-75421D5FC798}"/>
    <cellStyle name="40% - Accent3 2 2 2 8" xfId="8803" xr:uid="{162003E7-EE09-4C5B-B1A2-1C05E28ED528}"/>
    <cellStyle name="40% - Accent3 2 2 2 9" xfId="17244" xr:uid="{3B63F6F5-95A8-4936-9E1C-5D2205DB2919}"/>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FA2EA828-B2FA-4DBC-A998-927B85B7CA5E}"/>
    <cellStyle name="40% - Accent3 2 2 3 2 2 3" xfId="24019" xr:uid="{55A17855-F577-4F73-8AB7-348363DA214A}"/>
    <cellStyle name="40% - Accent3 2 2 3 2 3" xfId="11361" xr:uid="{415F1425-C303-4040-B132-F5A7EB9014CE}"/>
    <cellStyle name="40% - Accent3 2 2 3 2 4" xfId="19802" xr:uid="{A1AD0E8A-B0D1-4460-989B-C89C07CAB2B9}"/>
    <cellStyle name="40% - Accent3 2 2 3 3" xfId="4984" xr:uid="{00000000-0005-0000-0000-00001B050000}"/>
    <cellStyle name="40% - Accent3 2 2 3 3 2" xfId="13434" xr:uid="{BFD3CC9E-D74A-4106-BE97-28049206D6ED}"/>
    <cellStyle name="40% - Accent3 2 2 3 3 3" xfId="21874" xr:uid="{00281019-941E-444E-8169-678101BE2182}"/>
    <cellStyle name="40% - Accent3 2 2 3 4" xfId="9216" xr:uid="{86E2CD62-9AC6-4DFA-A832-9F81C7DCF91F}"/>
    <cellStyle name="40% - Accent3 2 2 3 5" xfId="17657" xr:uid="{08FA8282-8445-4DE8-8544-306670FD02F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4E581361-99FE-458B-B189-F417539D780D}"/>
    <cellStyle name="40% - Accent3 2 2 4 2 2 3" xfId="24432" xr:uid="{F5E395C3-0BC4-4A63-B2A1-84BF3DEB4FA1}"/>
    <cellStyle name="40% - Accent3 2 2 4 2 3" xfId="11774" xr:uid="{B2AFE4A1-640F-44DC-8322-F04640C95803}"/>
    <cellStyle name="40% - Accent3 2 2 4 2 4" xfId="20215" xr:uid="{5C422B8A-AE85-48A4-A9E9-0DB86F1ECCAE}"/>
    <cellStyle name="40% - Accent3 2 2 4 3" xfId="5397" xr:uid="{00000000-0005-0000-0000-00001F050000}"/>
    <cellStyle name="40% - Accent3 2 2 4 3 2" xfId="13847" xr:uid="{762538DC-EED8-4354-AAAC-C47E64DB014A}"/>
    <cellStyle name="40% - Accent3 2 2 4 3 3" xfId="22287" xr:uid="{1F8318ED-099E-47CC-B23A-4F334763F70A}"/>
    <cellStyle name="40% - Accent3 2 2 4 4" xfId="9629" xr:uid="{48D4DEB9-C0F9-47B5-9833-2BEEF846E869}"/>
    <cellStyle name="40% - Accent3 2 2 4 5" xfId="18070" xr:uid="{B128E7B5-ACAE-4ED2-A16D-8066AF63FCBA}"/>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952853AB-E227-4D60-BF95-404255D01988}"/>
    <cellStyle name="40% - Accent3 2 2 5 2 2 3" xfId="24845" xr:uid="{BC8C29C1-1CB9-409F-B713-F6567215D464}"/>
    <cellStyle name="40% - Accent3 2 2 5 2 3" xfId="12187" xr:uid="{11262306-ED0B-4D2D-BD8A-536612C05E07}"/>
    <cellStyle name="40% - Accent3 2 2 5 2 4" xfId="20628" xr:uid="{FAFD23DB-EA40-4CB8-AA91-43332119737E}"/>
    <cellStyle name="40% - Accent3 2 2 5 3" xfId="5810" xr:uid="{00000000-0005-0000-0000-000023050000}"/>
    <cellStyle name="40% - Accent3 2 2 5 3 2" xfId="14260" xr:uid="{E0DD86FF-3E35-4C49-B259-835F2F269C56}"/>
    <cellStyle name="40% - Accent3 2 2 5 3 3" xfId="22700" xr:uid="{B04D093E-4F65-4AEC-8069-47F84DB0246E}"/>
    <cellStyle name="40% - Accent3 2 2 5 4" xfId="10042" xr:uid="{A22F9324-6161-4347-B100-81B2FA739057}"/>
    <cellStyle name="40% - Accent3 2 2 5 5" xfId="18483" xr:uid="{9BA356F6-5F3F-4084-BFEC-CF7212CB643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337BE688-6253-4BF8-84DF-26335DE49714}"/>
    <cellStyle name="40% - Accent3 2 2 6 2 2 3" xfId="25258" xr:uid="{03C9FBAB-8AAD-4FE3-8DC2-2776BDB95337}"/>
    <cellStyle name="40% - Accent3 2 2 6 2 3" xfId="12600" xr:uid="{32ECF7FB-DC2F-486B-B01D-ABEC879E8355}"/>
    <cellStyle name="40% - Accent3 2 2 6 2 4" xfId="21041" xr:uid="{4FD1BB79-575A-4007-9632-8CBA9C8F971B}"/>
    <cellStyle name="40% - Accent3 2 2 6 3" xfId="6223" xr:uid="{00000000-0005-0000-0000-000027050000}"/>
    <cellStyle name="40% - Accent3 2 2 6 3 2" xfId="14673" xr:uid="{99EDA7DF-9D1B-463F-B917-F5CE260D67CF}"/>
    <cellStyle name="40% - Accent3 2 2 6 3 3" xfId="23113" xr:uid="{7FC2D10F-A686-4104-B133-07EF948285AF}"/>
    <cellStyle name="40% - Accent3 2 2 6 4" xfId="10455" xr:uid="{148EABD6-E392-461F-A860-55956A235439}"/>
    <cellStyle name="40% - Accent3 2 2 6 5" xfId="18896" xr:uid="{F2AEC541-F1FA-4C1F-80C1-8D7BBE521654}"/>
    <cellStyle name="40% - Accent3 2 2 7" xfId="2330" xr:uid="{00000000-0005-0000-0000-000028050000}"/>
    <cellStyle name="40% - Accent3 2 2 7 2" xfId="6636" xr:uid="{00000000-0005-0000-0000-000029050000}"/>
    <cellStyle name="40% - Accent3 2 2 7 2 2" xfId="15086" xr:uid="{A4CE669D-A637-4F83-8C09-727BABCFF7F5}"/>
    <cellStyle name="40% - Accent3 2 2 7 2 3" xfId="23526" xr:uid="{F1FDBD92-817C-4B94-9640-C2E5DF3876D1}"/>
    <cellStyle name="40% - Accent3 2 2 7 3" xfId="10868" xr:uid="{B5D2EAC6-DDD4-4A35-AB8F-23270D48C24F}"/>
    <cellStyle name="40% - Accent3 2 2 7 4" xfId="19309" xr:uid="{FAD5AB3B-22F8-40A6-AF53-B5D6F43D55E1}"/>
    <cellStyle name="40% - Accent3 2 2 8" xfId="4570" xr:uid="{00000000-0005-0000-0000-00002A050000}"/>
    <cellStyle name="40% - Accent3 2 2 8 2" xfId="13020" xr:uid="{04345D9F-5395-4B8A-B2E1-D516C9DA18CA}"/>
    <cellStyle name="40% - Accent3 2 2 8 3" xfId="21460" xr:uid="{CAFC21FF-BF14-49C3-9F0E-433882DBEDA8}"/>
    <cellStyle name="40% - Accent3 2 2 9" xfId="8802" xr:uid="{5A28A624-3BBA-4D11-B218-6B01E57F7ACF}"/>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25D51B0C-2639-476E-B495-E3A4FAB2C2E4}"/>
    <cellStyle name="40% - Accent3 2 3 2 2 2 3" xfId="24021" xr:uid="{1C893E4A-EC31-4708-97CA-1AEC114FBAF5}"/>
    <cellStyle name="40% - Accent3 2 3 2 2 3" xfId="11363" xr:uid="{A61019E0-F81B-4770-9A7C-FBD512F68B84}"/>
    <cellStyle name="40% - Accent3 2 3 2 2 4" xfId="19804" xr:uid="{4EFAAABC-FF45-4C62-9389-1BEA8C6F1F1D}"/>
    <cellStyle name="40% - Accent3 2 3 2 3" xfId="4986" xr:uid="{00000000-0005-0000-0000-00002F050000}"/>
    <cellStyle name="40% - Accent3 2 3 2 3 2" xfId="13436" xr:uid="{38E37D4C-3C6E-4870-A6B0-56AF501C800A}"/>
    <cellStyle name="40% - Accent3 2 3 2 3 3" xfId="21876" xr:uid="{06DB11BA-7371-4027-8C76-B58EB3349505}"/>
    <cellStyle name="40% - Accent3 2 3 2 4" xfId="9218" xr:uid="{44B512E8-E551-4751-B79D-9232DF6B153D}"/>
    <cellStyle name="40% - Accent3 2 3 2 5" xfId="17659" xr:uid="{2C517B5A-5737-442D-8BEC-63F746645590}"/>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0D17F1F0-B31A-4E32-8302-FC2B59EF96A1}"/>
    <cellStyle name="40% - Accent3 2 3 3 2 2 3" xfId="24434" xr:uid="{D10F52F2-B097-45C2-BC05-446D33CAE9D9}"/>
    <cellStyle name="40% - Accent3 2 3 3 2 3" xfId="11776" xr:uid="{944C57A6-93A5-4F78-A040-5F92A204F0D9}"/>
    <cellStyle name="40% - Accent3 2 3 3 2 4" xfId="20217" xr:uid="{904B4860-A3D5-4353-9387-F20214AA6555}"/>
    <cellStyle name="40% - Accent3 2 3 3 3" xfId="5399" xr:uid="{00000000-0005-0000-0000-000033050000}"/>
    <cellStyle name="40% - Accent3 2 3 3 3 2" xfId="13849" xr:uid="{F2DA7CA8-FF38-424D-97E3-ACC1B93DB466}"/>
    <cellStyle name="40% - Accent3 2 3 3 3 3" xfId="22289" xr:uid="{3A8089BA-C28E-4F13-896F-511751F2ECC5}"/>
    <cellStyle name="40% - Accent3 2 3 3 4" xfId="9631" xr:uid="{B9E836C3-582B-4A5E-BB4F-4F955F225E80}"/>
    <cellStyle name="40% - Accent3 2 3 3 5" xfId="18072" xr:uid="{194CB2F8-B743-49DE-B2AC-EE3D4B3BA5C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9F03290B-5464-4075-AE27-133C838C5CF5}"/>
    <cellStyle name="40% - Accent3 2 3 4 2 2 3" xfId="24847" xr:uid="{8C5990E1-6616-44CF-8B41-DAC43FAEABA8}"/>
    <cellStyle name="40% - Accent3 2 3 4 2 3" xfId="12189" xr:uid="{824FDAC6-442A-4472-9308-D50FB9B0A801}"/>
    <cellStyle name="40% - Accent3 2 3 4 2 4" xfId="20630" xr:uid="{614B0201-5D82-4DD5-AFB9-A60228B00897}"/>
    <cellStyle name="40% - Accent3 2 3 4 3" xfId="5812" xr:uid="{00000000-0005-0000-0000-000037050000}"/>
    <cellStyle name="40% - Accent3 2 3 4 3 2" xfId="14262" xr:uid="{FD14CA82-1F84-482E-9BC5-E0EDBF8DC91C}"/>
    <cellStyle name="40% - Accent3 2 3 4 3 3" xfId="22702" xr:uid="{F9EA8B17-DF33-4DDE-94A4-2DF90D7A7DA3}"/>
    <cellStyle name="40% - Accent3 2 3 4 4" xfId="10044" xr:uid="{ECA48780-FECF-4A44-A745-0E1159362207}"/>
    <cellStyle name="40% - Accent3 2 3 4 5" xfId="18485" xr:uid="{16D6EC1F-3231-4F82-B9FC-D8DCDDC01F21}"/>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B758AAEE-6853-4BEE-B589-75C62E524A80}"/>
    <cellStyle name="40% - Accent3 2 3 5 2 2 3" xfId="25260" xr:uid="{87F16944-D46C-4891-800A-02015DAAD3AF}"/>
    <cellStyle name="40% - Accent3 2 3 5 2 3" xfId="12602" xr:uid="{067F0816-268B-45B0-82FC-5B4B0BE3BBD5}"/>
    <cellStyle name="40% - Accent3 2 3 5 2 4" xfId="21043" xr:uid="{F12464AD-7F6F-44C6-9219-67DE5FC10EE2}"/>
    <cellStyle name="40% - Accent3 2 3 5 3" xfId="6225" xr:uid="{00000000-0005-0000-0000-00003B050000}"/>
    <cellStyle name="40% - Accent3 2 3 5 3 2" xfId="14675" xr:uid="{A9E2E237-1917-40F8-9920-873ACFDE20DD}"/>
    <cellStyle name="40% - Accent3 2 3 5 3 3" xfId="23115" xr:uid="{51887815-FF2D-4A25-894E-7DAB27CD3489}"/>
    <cellStyle name="40% - Accent3 2 3 5 4" xfId="10457" xr:uid="{1D399A80-8528-4913-96A6-B2A0E16E2A9B}"/>
    <cellStyle name="40% - Accent3 2 3 5 5" xfId="18898" xr:uid="{3FBEF174-7FFA-4443-A7F8-3DDEC6249F0A}"/>
    <cellStyle name="40% - Accent3 2 3 6" xfId="2332" xr:uid="{00000000-0005-0000-0000-00003C050000}"/>
    <cellStyle name="40% - Accent3 2 3 6 2" xfId="6638" xr:uid="{00000000-0005-0000-0000-00003D050000}"/>
    <cellStyle name="40% - Accent3 2 3 6 2 2" xfId="15088" xr:uid="{2FB2CC64-F9F6-4E40-BC7A-A2505DA67251}"/>
    <cellStyle name="40% - Accent3 2 3 6 2 3" xfId="23528" xr:uid="{28F52026-4BDD-43B4-9FEE-5449E6D10D50}"/>
    <cellStyle name="40% - Accent3 2 3 6 3" xfId="10870" xr:uid="{BF086260-5C56-44CA-A58D-F221BE428BC3}"/>
    <cellStyle name="40% - Accent3 2 3 6 4" xfId="19311" xr:uid="{30DF742A-BF49-4FCD-BDBE-92E3A5645A6E}"/>
    <cellStyle name="40% - Accent3 2 3 7" xfId="4572" xr:uid="{00000000-0005-0000-0000-00003E050000}"/>
    <cellStyle name="40% - Accent3 2 3 7 2" xfId="13022" xr:uid="{8E5737F2-8C8C-483A-A5E1-417D38AC95A5}"/>
    <cellStyle name="40% - Accent3 2 3 7 3" xfId="21462" xr:uid="{CD181122-A3B2-4E4D-87BB-0631FBCC1AAA}"/>
    <cellStyle name="40% - Accent3 2 3 8" xfId="8804" xr:uid="{CF891680-B646-4672-9F3A-8F528A4602BC}"/>
    <cellStyle name="40% - Accent3 2 3 9" xfId="17245" xr:uid="{A9B12794-809F-4BC5-95BB-D6F3150A8FB4}"/>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F3ABBEE0-6214-43D4-9839-A34688CD97BA}"/>
    <cellStyle name="40% - Accent3 2 4 2 2 3" xfId="24018" xr:uid="{8FACDB32-96AF-456A-915E-29B9236A9865}"/>
    <cellStyle name="40% - Accent3 2 4 2 3" xfId="11360" xr:uid="{E13BD566-0C5C-4B60-AEBB-B1B351948327}"/>
    <cellStyle name="40% - Accent3 2 4 2 4" xfId="19801" xr:uid="{571AB767-CEA0-44EA-B8D8-8EAE4058AAB3}"/>
    <cellStyle name="40% - Accent3 2 4 3" xfId="4983" xr:uid="{00000000-0005-0000-0000-000042050000}"/>
    <cellStyle name="40% - Accent3 2 4 3 2" xfId="13433" xr:uid="{E328E619-FFEE-496C-9C8F-AC1CF7E2A45A}"/>
    <cellStyle name="40% - Accent3 2 4 3 3" xfId="21873" xr:uid="{3715EB50-AE4C-4E80-8429-1429412EF435}"/>
    <cellStyle name="40% - Accent3 2 4 4" xfId="9215" xr:uid="{7420DCAC-2B2F-4DE7-BB7F-421EE046D73C}"/>
    <cellStyle name="40% - Accent3 2 4 5" xfId="17656" xr:uid="{74DB52A7-0147-43A5-9571-7AC72E9C8C1E}"/>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183B87EC-37F5-40E4-9741-E81FF7C411F0}"/>
    <cellStyle name="40% - Accent3 2 5 2 2 3" xfId="24431" xr:uid="{37E6F544-D8C5-4B1A-A806-C247A5697106}"/>
    <cellStyle name="40% - Accent3 2 5 2 3" xfId="11773" xr:uid="{B854511F-17DB-4593-905B-156A3F0F62ED}"/>
    <cellStyle name="40% - Accent3 2 5 2 4" xfId="20214" xr:uid="{BC79C8DB-7029-4A69-A9DD-9FE95BD7A5E7}"/>
    <cellStyle name="40% - Accent3 2 5 3" xfId="5396" xr:uid="{00000000-0005-0000-0000-000046050000}"/>
    <cellStyle name="40% - Accent3 2 5 3 2" xfId="13846" xr:uid="{9C8FFD19-DA5D-4148-BDA0-CC18B1A65E09}"/>
    <cellStyle name="40% - Accent3 2 5 3 3" xfId="22286" xr:uid="{F75BEE4C-062B-41E6-B73B-CC95C8302030}"/>
    <cellStyle name="40% - Accent3 2 5 4" xfId="9628" xr:uid="{70F529DC-BE56-4815-9A34-3C51F69CC0A3}"/>
    <cellStyle name="40% - Accent3 2 5 5" xfId="18069" xr:uid="{F354720B-224C-409D-95DF-E917F9C0EB7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5904B70D-1FB1-4113-83AB-3BA9DDC54ADF}"/>
    <cellStyle name="40% - Accent3 2 6 2 2 3" xfId="24844" xr:uid="{6FC6B248-E1DE-4990-BACD-042123FB8B4E}"/>
    <cellStyle name="40% - Accent3 2 6 2 3" xfId="12186" xr:uid="{91BC8EF6-590A-45AB-A368-4DA7BD0E7496}"/>
    <cellStyle name="40% - Accent3 2 6 2 4" xfId="20627" xr:uid="{7550324F-22A2-44DF-AE50-841D9A1A8BAF}"/>
    <cellStyle name="40% - Accent3 2 6 3" xfId="5809" xr:uid="{00000000-0005-0000-0000-00004A050000}"/>
    <cellStyle name="40% - Accent3 2 6 3 2" xfId="14259" xr:uid="{EE558300-A6D2-420D-A156-6EE1AA95AAC3}"/>
    <cellStyle name="40% - Accent3 2 6 3 3" xfId="22699" xr:uid="{A202FCC1-4064-4984-8396-1700F70D6588}"/>
    <cellStyle name="40% - Accent3 2 6 4" xfId="10041" xr:uid="{34DA77B1-FE45-42CA-9DC4-818E6F288FE6}"/>
    <cellStyle name="40% - Accent3 2 6 5" xfId="18482" xr:uid="{0825A8EC-CD43-4A87-B043-13EF76C7D28C}"/>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34C2E191-3721-4FEA-8455-B8BE80053F3A}"/>
    <cellStyle name="40% - Accent3 2 7 2 2 3" xfId="25257" xr:uid="{B7CF99B1-9338-4B64-BAB8-6111D9A42DD8}"/>
    <cellStyle name="40% - Accent3 2 7 2 3" xfId="12599" xr:uid="{4F066C65-06DE-48B8-B9B4-BBF65E505A2F}"/>
    <cellStyle name="40% - Accent3 2 7 2 4" xfId="21040" xr:uid="{1FDF8E1D-A147-4D9D-9199-9FBBF3F2A9C9}"/>
    <cellStyle name="40% - Accent3 2 7 3" xfId="6222" xr:uid="{00000000-0005-0000-0000-00004E050000}"/>
    <cellStyle name="40% - Accent3 2 7 3 2" xfId="14672" xr:uid="{92893E04-D902-4A75-B7FA-349DC8BBB71E}"/>
    <cellStyle name="40% - Accent3 2 7 3 3" xfId="23112" xr:uid="{0BE68BD5-6C41-44E7-B23A-4B644E674868}"/>
    <cellStyle name="40% - Accent3 2 7 4" xfId="10454" xr:uid="{11135AEC-0F6F-465F-BEF5-F14B47D1AE98}"/>
    <cellStyle name="40% - Accent3 2 7 5" xfId="18895" xr:uid="{3A643311-0851-4239-A122-B71CC8825178}"/>
    <cellStyle name="40% - Accent3 2 8" xfId="2329" xr:uid="{00000000-0005-0000-0000-00004F050000}"/>
    <cellStyle name="40% - Accent3 2 8 2" xfId="6635" xr:uid="{00000000-0005-0000-0000-000050050000}"/>
    <cellStyle name="40% - Accent3 2 8 2 2" xfId="15085" xr:uid="{1B2ABDFA-4119-4848-9A3B-B8FF04A644FF}"/>
    <cellStyle name="40% - Accent3 2 8 2 3" xfId="23525" xr:uid="{CE4F0DEF-D510-4CA2-B5F8-698B53E36FA2}"/>
    <cellStyle name="40% - Accent3 2 8 3" xfId="10867" xr:uid="{E2D4FF10-45D3-4A1A-84AC-2EE36C46F264}"/>
    <cellStyle name="40% - Accent3 2 8 4" xfId="19308" xr:uid="{7153A915-CB02-4542-A239-80678C8C5E55}"/>
    <cellStyle name="40% - Accent3 2 9" xfId="4569" xr:uid="{00000000-0005-0000-0000-000051050000}"/>
    <cellStyle name="40% - Accent3 2 9 2" xfId="13019" xr:uid="{81A6A076-CF2E-41AC-B7E5-F6CC71E77F4A}"/>
    <cellStyle name="40% - Accent3 2 9 3" xfId="21459" xr:uid="{F2E9E250-D28D-4687-85E6-2E552DBFD88E}"/>
    <cellStyle name="40% - Accent3 3" xfId="70" xr:uid="{00000000-0005-0000-0000-000052050000}"/>
    <cellStyle name="40% - Accent3 3 10" xfId="17246" xr:uid="{D4F547EA-18B1-4375-93BA-36278EAA2329}"/>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11EC60A5-E0E8-472B-A916-1EFA9E82C88A}"/>
    <cellStyle name="40% - Accent3 3 2 2 2 2 3" xfId="24023" xr:uid="{716BBBDB-8A2B-4C5A-8F4B-781A09F65B81}"/>
    <cellStyle name="40% - Accent3 3 2 2 2 3" xfId="11365" xr:uid="{EF7811D6-D8DE-45A8-83DA-B09A982BAA09}"/>
    <cellStyle name="40% - Accent3 3 2 2 2 4" xfId="19806" xr:uid="{17462CCB-A6D6-47F1-AB26-6C63E5A64A6F}"/>
    <cellStyle name="40% - Accent3 3 2 2 3" xfId="4988" xr:uid="{00000000-0005-0000-0000-000057050000}"/>
    <cellStyle name="40% - Accent3 3 2 2 3 2" xfId="13438" xr:uid="{63C8F35E-E60F-411E-9211-0A704F54FC29}"/>
    <cellStyle name="40% - Accent3 3 2 2 3 3" xfId="21878" xr:uid="{6E947434-AC96-4D88-8F70-8B31409FA824}"/>
    <cellStyle name="40% - Accent3 3 2 2 4" xfId="9220" xr:uid="{D0EDABCA-E31D-4C99-8EA5-55010FB1DEC4}"/>
    <cellStyle name="40% - Accent3 3 2 2 5" xfId="17661" xr:uid="{DF3275FF-CD88-411B-BB97-3475DC71C228}"/>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8474B8F0-00B3-4A30-A8E0-0DB5BF8C4549}"/>
    <cellStyle name="40% - Accent3 3 2 3 2 2 3" xfId="24436" xr:uid="{FE6CB30A-C950-4E53-8C16-3CFA55288C48}"/>
    <cellStyle name="40% - Accent3 3 2 3 2 3" xfId="11778" xr:uid="{25C2A304-FCCA-455B-8DE1-B27882F7CA7B}"/>
    <cellStyle name="40% - Accent3 3 2 3 2 4" xfId="20219" xr:uid="{09010F5E-B680-4F05-A7CD-D1EC324C7719}"/>
    <cellStyle name="40% - Accent3 3 2 3 3" xfId="5401" xr:uid="{00000000-0005-0000-0000-00005B050000}"/>
    <cellStyle name="40% - Accent3 3 2 3 3 2" xfId="13851" xr:uid="{4E69E7D6-C488-4853-97BA-2394918AF2A5}"/>
    <cellStyle name="40% - Accent3 3 2 3 3 3" xfId="22291" xr:uid="{05C708FA-FA6F-48F8-9301-D1FE5872CAED}"/>
    <cellStyle name="40% - Accent3 3 2 3 4" xfId="9633" xr:uid="{F0AB35EB-326E-4D3E-B46F-8D5B6B47D8B7}"/>
    <cellStyle name="40% - Accent3 3 2 3 5" xfId="18074" xr:uid="{7A6CE2C6-E8E2-4CDB-A4F1-E726E533421D}"/>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E21E5DC2-F7F9-4DA0-A8A6-AB84D9609CE0}"/>
    <cellStyle name="40% - Accent3 3 2 4 2 2 3" xfId="24849" xr:uid="{0A2A4E00-3CC1-4B42-B044-6681C5BB3704}"/>
    <cellStyle name="40% - Accent3 3 2 4 2 3" xfId="12191" xr:uid="{2184C30D-72D1-4909-8685-B382C7A26D19}"/>
    <cellStyle name="40% - Accent3 3 2 4 2 4" xfId="20632" xr:uid="{B5B97194-408F-4B7B-B70C-4461995C3A9B}"/>
    <cellStyle name="40% - Accent3 3 2 4 3" xfId="5814" xr:uid="{00000000-0005-0000-0000-00005F050000}"/>
    <cellStyle name="40% - Accent3 3 2 4 3 2" xfId="14264" xr:uid="{9581B43C-7D65-4262-AA18-A1B90A684575}"/>
    <cellStyle name="40% - Accent3 3 2 4 3 3" xfId="22704" xr:uid="{DB2B6EF5-DE08-4C15-992F-CB12DADCE720}"/>
    <cellStyle name="40% - Accent3 3 2 4 4" xfId="10046" xr:uid="{8AD83B57-534C-45A6-917C-8C4DF8450968}"/>
    <cellStyle name="40% - Accent3 3 2 4 5" xfId="18487" xr:uid="{1F2BAFD3-33C5-4159-8AB0-CDC734AF2FEC}"/>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BE6A0E36-1DA1-4CA2-9EE9-1E08267A0DB5}"/>
    <cellStyle name="40% - Accent3 3 2 5 2 2 3" xfId="25262" xr:uid="{EF75A433-64C7-436C-8588-52B56E521059}"/>
    <cellStyle name="40% - Accent3 3 2 5 2 3" xfId="12604" xr:uid="{33C2A511-78B1-46BA-AD15-39608F9BA976}"/>
    <cellStyle name="40% - Accent3 3 2 5 2 4" xfId="21045" xr:uid="{6ACD4899-A1B1-4B06-96E8-79CFA6BF2DDB}"/>
    <cellStyle name="40% - Accent3 3 2 5 3" xfId="6227" xr:uid="{00000000-0005-0000-0000-000063050000}"/>
    <cellStyle name="40% - Accent3 3 2 5 3 2" xfId="14677" xr:uid="{28CBA26C-E411-4528-9A11-0D92C1D9C083}"/>
    <cellStyle name="40% - Accent3 3 2 5 3 3" xfId="23117" xr:uid="{52CEBBE3-B43E-4874-A5B9-3E9F196DF24E}"/>
    <cellStyle name="40% - Accent3 3 2 5 4" xfId="10459" xr:uid="{C777AF87-6F94-445E-89F2-47D0FBB2FE44}"/>
    <cellStyle name="40% - Accent3 3 2 5 5" xfId="18900" xr:uid="{AF8AC6B1-C2F3-4231-A264-2BCF58F95B17}"/>
    <cellStyle name="40% - Accent3 3 2 6" xfId="2334" xr:uid="{00000000-0005-0000-0000-000064050000}"/>
    <cellStyle name="40% - Accent3 3 2 6 2" xfId="6640" xr:uid="{00000000-0005-0000-0000-000065050000}"/>
    <cellStyle name="40% - Accent3 3 2 6 2 2" xfId="15090" xr:uid="{E158EC8B-960D-4ECA-8FE1-D4EAD798241E}"/>
    <cellStyle name="40% - Accent3 3 2 6 2 3" xfId="23530" xr:uid="{FB36A1B0-2BD0-49BE-A0AE-71C62D5688BB}"/>
    <cellStyle name="40% - Accent3 3 2 6 3" xfId="10872" xr:uid="{1D073664-B561-4003-A1FB-8C0903186F50}"/>
    <cellStyle name="40% - Accent3 3 2 6 4" xfId="19313" xr:uid="{D96F6A6D-591C-4FB3-AE77-FBEE496E00E9}"/>
    <cellStyle name="40% - Accent3 3 2 7" xfId="4574" xr:uid="{00000000-0005-0000-0000-000066050000}"/>
    <cellStyle name="40% - Accent3 3 2 7 2" xfId="13024" xr:uid="{6752A4AE-856C-4B4B-B6F1-C483C84473A7}"/>
    <cellStyle name="40% - Accent3 3 2 7 3" xfId="21464" xr:uid="{F021A341-2982-4ACA-B886-0D158EFE1208}"/>
    <cellStyle name="40% - Accent3 3 2 8" xfId="8806" xr:uid="{3ED8A3B4-08E6-4D6B-A597-1413299620F2}"/>
    <cellStyle name="40% - Accent3 3 2 9" xfId="17247" xr:uid="{5A2FBD81-7241-45C6-A5AE-E63540F73949}"/>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8539AB23-258F-40E7-B5E2-2591AE7D8A33}"/>
    <cellStyle name="40% - Accent3 3 3 2 2 3" xfId="24022" xr:uid="{783F7612-B13A-4F6A-A60E-F6CC5A6F4723}"/>
    <cellStyle name="40% - Accent3 3 3 2 3" xfId="11364" xr:uid="{4542E427-D4CB-47E3-A878-8779BC703EE5}"/>
    <cellStyle name="40% - Accent3 3 3 2 4" xfId="19805" xr:uid="{0FEF33B6-B5F1-4E12-946B-007E43423263}"/>
    <cellStyle name="40% - Accent3 3 3 3" xfId="4987" xr:uid="{00000000-0005-0000-0000-00006A050000}"/>
    <cellStyle name="40% - Accent3 3 3 3 2" xfId="13437" xr:uid="{F005125B-8D96-4A68-8B41-8419B17093C6}"/>
    <cellStyle name="40% - Accent3 3 3 3 3" xfId="21877" xr:uid="{C820027C-5DF8-4990-9B40-E0B10EB98EE8}"/>
    <cellStyle name="40% - Accent3 3 3 4" xfId="9219" xr:uid="{B9538DE0-BFDE-4A1E-B5FD-7F0BE05FE70F}"/>
    <cellStyle name="40% - Accent3 3 3 5" xfId="17660" xr:uid="{7F15D120-EA64-473A-951A-81CE5C8A68C2}"/>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28B8585B-5348-4A07-9982-BEEE466912EA}"/>
    <cellStyle name="40% - Accent3 3 4 2 2 3" xfId="24435" xr:uid="{33DE1D22-DEA9-46CC-87C6-4FC674F6FB5A}"/>
    <cellStyle name="40% - Accent3 3 4 2 3" xfId="11777" xr:uid="{8595FCF9-F5E1-4CB9-BC0A-39DCDCD48199}"/>
    <cellStyle name="40% - Accent3 3 4 2 4" xfId="20218" xr:uid="{6D6A7D40-F122-42EA-A647-FC29A0B17430}"/>
    <cellStyle name="40% - Accent3 3 4 3" xfId="5400" xr:uid="{00000000-0005-0000-0000-00006E050000}"/>
    <cellStyle name="40% - Accent3 3 4 3 2" xfId="13850" xr:uid="{C3504E78-8621-4498-9FBE-889F4AD2E4EC}"/>
    <cellStyle name="40% - Accent3 3 4 3 3" xfId="22290" xr:uid="{7B8A8DDC-E0C0-4ED7-AD58-33337524A068}"/>
    <cellStyle name="40% - Accent3 3 4 4" xfId="9632" xr:uid="{B996F6ED-D705-498E-83F1-E977A806CCDF}"/>
    <cellStyle name="40% - Accent3 3 4 5" xfId="18073" xr:uid="{BF7E0189-D632-436D-8820-230187C44FDE}"/>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8AC29B15-C785-43F5-A31A-4CEA3676D78F}"/>
    <cellStyle name="40% - Accent3 3 5 2 2 3" xfId="24848" xr:uid="{3295F7A0-7293-485F-A582-8B637D3C90C7}"/>
    <cellStyle name="40% - Accent3 3 5 2 3" xfId="12190" xr:uid="{7B8033D0-F23E-4810-99AD-4CDC736C4656}"/>
    <cellStyle name="40% - Accent3 3 5 2 4" xfId="20631" xr:uid="{F68B8A22-79A1-4FF6-8F5C-6382B165DF1C}"/>
    <cellStyle name="40% - Accent3 3 5 3" xfId="5813" xr:uid="{00000000-0005-0000-0000-000072050000}"/>
    <cellStyle name="40% - Accent3 3 5 3 2" xfId="14263" xr:uid="{9AB7BCAB-4A38-4F76-A51E-9CBC532D2345}"/>
    <cellStyle name="40% - Accent3 3 5 3 3" xfId="22703" xr:uid="{7D12A053-4E29-469C-996F-B2AEECFA6A2B}"/>
    <cellStyle name="40% - Accent3 3 5 4" xfId="10045" xr:uid="{3A78C5A6-4DBE-459F-9912-022960BBA7B1}"/>
    <cellStyle name="40% - Accent3 3 5 5" xfId="18486" xr:uid="{279DBB4B-6ED1-43D2-88B2-85967C32C7AF}"/>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3B1AA368-601B-437E-965C-1633FDCFD415}"/>
    <cellStyle name="40% - Accent3 3 6 2 2 3" xfId="25261" xr:uid="{CF2DDF3A-EACD-4EB0-874B-A855295D74B2}"/>
    <cellStyle name="40% - Accent3 3 6 2 3" xfId="12603" xr:uid="{465E51F1-49D4-4437-83BE-84E0C177A8C5}"/>
    <cellStyle name="40% - Accent3 3 6 2 4" xfId="21044" xr:uid="{0887B872-8DA1-436D-A8E1-B6DBD80F1B20}"/>
    <cellStyle name="40% - Accent3 3 6 3" xfId="6226" xr:uid="{00000000-0005-0000-0000-000076050000}"/>
    <cellStyle name="40% - Accent3 3 6 3 2" xfId="14676" xr:uid="{CF9563D6-A446-432A-9AE7-13BA1A27A094}"/>
    <cellStyle name="40% - Accent3 3 6 3 3" xfId="23116" xr:uid="{05ABE55F-67D8-444E-A8D6-0BB47F61A9BC}"/>
    <cellStyle name="40% - Accent3 3 6 4" xfId="10458" xr:uid="{F7176E4D-E8C0-4B1C-87E9-3BFA8234E036}"/>
    <cellStyle name="40% - Accent3 3 6 5" xfId="18899" xr:uid="{592CE18E-6D1D-46E8-9EDB-451D0ADEA22B}"/>
    <cellStyle name="40% - Accent3 3 7" xfId="2333" xr:uid="{00000000-0005-0000-0000-000077050000}"/>
    <cellStyle name="40% - Accent3 3 7 2" xfId="6639" xr:uid="{00000000-0005-0000-0000-000078050000}"/>
    <cellStyle name="40% - Accent3 3 7 2 2" xfId="15089" xr:uid="{DC38F5BB-46C7-436E-8D8A-169A135537B9}"/>
    <cellStyle name="40% - Accent3 3 7 2 3" xfId="23529" xr:uid="{B9C96629-4396-4372-BC72-05544E3E1B64}"/>
    <cellStyle name="40% - Accent3 3 7 3" xfId="10871" xr:uid="{DE98EAC8-E093-4F23-AC90-99053A6789D9}"/>
    <cellStyle name="40% - Accent3 3 7 4" xfId="19312" xr:uid="{5C7F2E99-AAF0-4BBF-8630-4E0BED5E83C4}"/>
    <cellStyle name="40% - Accent3 3 8" xfId="4573" xr:uid="{00000000-0005-0000-0000-000079050000}"/>
    <cellStyle name="40% - Accent3 3 8 2" xfId="13023" xr:uid="{BB1C915F-87D0-4558-B3FB-DF7F43B7B4EC}"/>
    <cellStyle name="40% - Accent3 3 8 3" xfId="21463" xr:uid="{E4E464E0-1972-49C0-81B1-670E29CA0700}"/>
    <cellStyle name="40% - Accent3 3 9" xfId="8805" xr:uid="{D38F1159-36CD-4047-B123-BE0CB4C07BE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F26A0373-435B-42F1-BB42-14C899BC80BE}"/>
    <cellStyle name="40% - Accent3 4 2 2 2 3" xfId="24024" xr:uid="{A41CAAA0-F567-4C82-BD2E-94079089685B}"/>
    <cellStyle name="40% - Accent3 4 2 2 3" xfId="11366" xr:uid="{BCF92A17-2653-472C-9933-DC6E25795172}"/>
    <cellStyle name="40% - Accent3 4 2 2 4" xfId="19807" xr:uid="{BD5143BE-2678-430E-8192-79D0A832C4BC}"/>
    <cellStyle name="40% - Accent3 4 2 3" xfId="4989" xr:uid="{00000000-0005-0000-0000-00007E050000}"/>
    <cellStyle name="40% - Accent3 4 2 3 2" xfId="13439" xr:uid="{B1F92DDE-782D-437F-97D3-4E6F67F47203}"/>
    <cellStyle name="40% - Accent3 4 2 3 3" xfId="21879" xr:uid="{20976442-CCEB-4F5F-B222-CD8B511F18CF}"/>
    <cellStyle name="40% - Accent3 4 2 4" xfId="9221" xr:uid="{F7A5FABE-0383-4F73-881E-DFEF6C48CF91}"/>
    <cellStyle name="40% - Accent3 4 2 5" xfId="17662" xr:uid="{A765DF5A-139B-4020-A94B-4E74EB0CAA95}"/>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88EB1260-96C0-4665-BA4E-A1B12E16FAEE}"/>
    <cellStyle name="40% - Accent3 4 3 2 2 3" xfId="24437" xr:uid="{2799C97F-5B17-45F5-8BEB-337E9172FA76}"/>
    <cellStyle name="40% - Accent3 4 3 2 3" xfId="11779" xr:uid="{B5006304-17EC-4B9E-8425-BA53FB0177A6}"/>
    <cellStyle name="40% - Accent3 4 3 2 4" xfId="20220" xr:uid="{C368F23E-7A13-4DE6-900D-EDEF26ECBF94}"/>
    <cellStyle name="40% - Accent3 4 3 3" xfId="5402" xr:uid="{00000000-0005-0000-0000-000082050000}"/>
    <cellStyle name="40% - Accent3 4 3 3 2" xfId="13852" xr:uid="{BDB9B23B-88D7-4E30-83B1-3DCD624413A1}"/>
    <cellStyle name="40% - Accent3 4 3 3 3" xfId="22292" xr:uid="{99ED6ACC-4F21-4D40-8DE6-CC29DD49B6CF}"/>
    <cellStyle name="40% - Accent3 4 3 4" xfId="9634" xr:uid="{847FA611-AF17-47DD-BE3C-0D47DEE9E5D8}"/>
    <cellStyle name="40% - Accent3 4 3 5" xfId="18075" xr:uid="{ACF9039C-E068-4397-B50C-C016A7A2BA38}"/>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DB434479-8A60-43EB-9870-C6C3D0F93494}"/>
    <cellStyle name="40% - Accent3 4 4 2 2 3" xfId="24850" xr:uid="{3CD52CEB-7CC9-49CA-8BC4-289C88527DC8}"/>
    <cellStyle name="40% - Accent3 4 4 2 3" xfId="12192" xr:uid="{C1863DAF-BB90-4703-8F44-C23798781C81}"/>
    <cellStyle name="40% - Accent3 4 4 2 4" xfId="20633" xr:uid="{967658CF-0C30-42E2-86A5-CC11CC0CA60B}"/>
    <cellStyle name="40% - Accent3 4 4 3" xfId="5815" xr:uid="{00000000-0005-0000-0000-000086050000}"/>
    <cellStyle name="40% - Accent3 4 4 3 2" xfId="14265" xr:uid="{D242D64C-AABE-4420-9191-C58C0BFA2C70}"/>
    <cellStyle name="40% - Accent3 4 4 3 3" xfId="22705" xr:uid="{966680C2-60A2-40D9-9DEF-58D856373B35}"/>
    <cellStyle name="40% - Accent3 4 4 4" xfId="10047" xr:uid="{B2D871C3-EF81-4AC8-96C5-729A28F9793E}"/>
    <cellStyle name="40% - Accent3 4 4 5" xfId="18488" xr:uid="{9F77E15D-DCAC-4680-8AEA-2010C3DAAE0C}"/>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E9A35C33-4D77-4FDD-92F9-23263AC6D013}"/>
    <cellStyle name="40% - Accent3 4 5 2 2 3" xfId="25263" xr:uid="{75DEB276-A978-4049-B875-BEC6F9BF2F00}"/>
    <cellStyle name="40% - Accent3 4 5 2 3" xfId="12605" xr:uid="{541F246C-1271-47ED-A579-731E3A4507B5}"/>
    <cellStyle name="40% - Accent3 4 5 2 4" xfId="21046" xr:uid="{7551B59E-CDBF-48D4-8494-4B70BFB4F106}"/>
    <cellStyle name="40% - Accent3 4 5 3" xfId="6228" xr:uid="{00000000-0005-0000-0000-00008A050000}"/>
    <cellStyle name="40% - Accent3 4 5 3 2" xfId="14678" xr:uid="{617E1AEE-3843-4E57-8084-BB1F16A0CBC0}"/>
    <cellStyle name="40% - Accent3 4 5 3 3" xfId="23118" xr:uid="{763395F1-A483-4C14-871F-80E85BA5FF58}"/>
    <cellStyle name="40% - Accent3 4 5 4" xfId="10460" xr:uid="{DED4528C-8899-4BD4-B9AC-918D2B2B06A6}"/>
    <cellStyle name="40% - Accent3 4 5 5" xfId="18901" xr:uid="{506F1FAD-9725-4E59-A4A0-394B3B8714F3}"/>
    <cellStyle name="40% - Accent3 4 6" xfId="2335" xr:uid="{00000000-0005-0000-0000-00008B050000}"/>
    <cellStyle name="40% - Accent3 4 6 2" xfId="6641" xr:uid="{00000000-0005-0000-0000-00008C050000}"/>
    <cellStyle name="40% - Accent3 4 6 2 2" xfId="15091" xr:uid="{DB5C496F-F0BC-48A2-A4BE-5941484652D3}"/>
    <cellStyle name="40% - Accent3 4 6 2 3" xfId="23531" xr:uid="{6373091F-FB93-46F4-BD4E-7F0629877B7F}"/>
    <cellStyle name="40% - Accent3 4 6 3" xfId="10873" xr:uid="{77CFF0FF-0989-4D31-A1C5-9C8C6EE40575}"/>
    <cellStyle name="40% - Accent3 4 6 4" xfId="19314" xr:uid="{A2BC4D26-4EB1-4C7A-A00E-A8D2A5BFDAE1}"/>
    <cellStyle name="40% - Accent3 4 7" xfId="4575" xr:uid="{00000000-0005-0000-0000-00008D050000}"/>
    <cellStyle name="40% - Accent3 4 7 2" xfId="13025" xr:uid="{7182E27E-88AF-4142-A55B-95E61FE42620}"/>
    <cellStyle name="40% - Accent3 4 7 3" xfId="21465" xr:uid="{8C0238E3-F3A9-4C68-8F5F-F05A3614F821}"/>
    <cellStyle name="40% - Accent3 4 8" xfId="8807" xr:uid="{C924237C-B757-48F9-9B5D-4766CE2563CA}"/>
    <cellStyle name="40% - Accent3 4 9" xfId="17248" xr:uid="{F3AED0F3-C3C0-4FF1-A143-C8FE3D30479B}"/>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6BCC91AB-1B2E-40EC-806A-954E0A6F2B00}"/>
    <cellStyle name="40% - Accent3 5 2 2 3" xfId="24017" xr:uid="{1526CAD1-29F2-4E4F-8D7D-29C52ADBF734}"/>
    <cellStyle name="40% - Accent3 5 2 3" xfId="11359" xr:uid="{81718D3D-ECE9-4E62-B36B-A0C802FCF612}"/>
    <cellStyle name="40% - Accent3 5 2 4" xfId="19800" xr:uid="{B1223717-F2AF-469F-9CFD-5715E636C340}"/>
    <cellStyle name="40% - Accent3 5 3" xfId="4982" xr:uid="{00000000-0005-0000-0000-000091050000}"/>
    <cellStyle name="40% - Accent3 5 3 2" xfId="13432" xr:uid="{AD6EEFEC-AC32-4604-B34C-02FFDBCAB4E8}"/>
    <cellStyle name="40% - Accent3 5 3 3" xfId="21872" xr:uid="{D8F203B9-AE44-452F-BB39-9C82F55F700C}"/>
    <cellStyle name="40% - Accent3 5 4" xfId="9214" xr:uid="{B1B12CE5-2CFA-4EDE-86D8-C7B4084F0EAA}"/>
    <cellStyle name="40% - Accent3 5 5" xfId="17655" xr:uid="{30DBF6C6-7594-441E-9FE2-82D00185DF2F}"/>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2BBEA146-ED13-45ED-AC48-80E19B89C161}"/>
    <cellStyle name="40% - Accent3 6 2 2 3" xfId="24430" xr:uid="{3350B5F9-389D-4FB4-93CD-214B66833A6A}"/>
    <cellStyle name="40% - Accent3 6 2 3" xfId="11772" xr:uid="{016F15DE-4298-4B8C-98C1-64843EAAA931}"/>
    <cellStyle name="40% - Accent3 6 2 4" xfId="20213" xr:uid="{7429BC4A-67AE-4F3E-B730-6889016AAE26}"/>
    <cellStyle name="40% - Accent3 6 3" xfId="5395" xr:uid="{00000000-0005-0000-0000-000095050000}"/>
    <cellStyle name="40% - Accent3 6 3 2" xfId="13845" xr:uid="{FB1175C1-14DC-4A21-9CD9-D707AB597E37}"/>
    <cellStyle name="40% - Accent3 6 3 3" xfId="22285" xr:uid="{C1028C2E-30AE-40B4-BBA1-2076A37AD78D}"/>
    <cellStyle name="40% - Accent3 6 4" xfId="9627" xr:uid="{40706A75-0C25-4C5F-8FF7-E33B70420B75}"/>
    <cellStyle name="40% - Accent3 6 5" xfId="18068" xr:uid="{39E3AF85-C39D-4A1A-9043-C1CACF2AC996}"/>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EAF26287-5E7B-4435-8EA1-B70B900E92EE}"/>
    <cellStyle name="40% - Accent3 7 2 2 3" xfId="24843" xr:uid="{14EFC282-7B78-402E-8CFF-04D479A265D2}"/>
    <cellStyle name="40% - Accent3 7 2 3" xfId="12185" xr:uid="{0C194102-C9B0-46D6-8A80-6F4D0839D9C1}"/>
    <cellStyle name="40% - Accent3 7 2 4" xfId="20626" xr:uid="{F5F43EC3-25B2-4486-B0F6-95F6BE73EC65}"/>
    <cellStyle name="40% - Accent3 7 3" xfId="5808" xr:uid="{00000000-0005-0000-0000-000099050000}"/>
    <cellStyle name="40% - Accent3 7 3 2" xfId="14258" xr:uid="{3AB8E9FB-021C-4680-B39B-C3B3DC7090DD}"/>
    <cellStyle name="40% - Accent3 7 3 3" xfId="22698" xr:uid="{EF9B5C46-C08D-4727-9239-BCD29ACBD1F2}"/>
    <cellStyle name="40% - Accent3 7 4" xfId="10040" xr:uid="{9E117A4E-115E-4BC5-A572-62BC600F2241}"/>
    <cellStyle name="40% - Accent3 7 5" xfId="18481" xr:uid="{28AAF577-4200-4346-9558-2CF78B46846C}"/>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F23EE425-BD04-4396-9267-A8216DC0C222}"/>
    <cellStyle name="40% - Accent3 8 2 2 3" xfId="25256" xr:uid="{47315370-340E-4AFF-B41B-2269080E62F7}"/>
    <cellStyle name="40% - Accent3 8 2 3" xfId="12598" xr:uid="{2D03932E-C12E-4B68-A46C-2D932AFCA681}"/>
    <cellStyle name="40% - Accent3 8 2 4" xfId="21039" xr:uid="{AD5FDFD1-9360-4BDA-94D2-A4B93435F20D}"/>
    <cellStyle name="40% - Accent3 8 3" xfId="6221" xr:uid="{00000000-0005-0000-0000-00009D050000}"/>
    <cellStyle name="40% - Accent3 8 3 2" xfId="14671" xr:uid="{344BDB1E-518B-485D-961C-950AC0142D11}"/>
    <cellStyle name="40% - Accent3 8 3 3" xfId="23111" xr:uid="{29DBC3C4-196F-4720-8F66-C2BA3C3B42DE}"/>
    <cellStyle name="40% - Accent3 8 4" xfId="10453" xr:uid="{D57ED3D2-2CE8-4DD4-847B-A51F058D28E4}"/>
    <cellStyle name="40% - Accent3 8 5" xfId="18894" xr:uid="{041D7700-15F3-4B61-94C4-720CC0CFB014}"/>
    <cellStyle name="40% - Accent3 9" xfId="2328" xr:uid="{00000000-0005-0000-0000-00009E050000}"/>
    <cellStyle name="40% - Accent3 9 2" xfId="6634" xr:uid="{00000000-0005-0000-0000-00009F050000}"/>
    <cellStyle name="40% - Accent3 9 2 2" xfId="15084" xr:uid="{0054CEE6-4002-4FC9-A7E3-5CC0B3A5098C}"/>
    <cellStyle name="40% - Accent3 9 2 3" xfId="23524" xr:uid="{A92ED918-0582-4494-8A52-C5C5B8819D08}"/>
    <cellStyle name="40% - Accent3 9 3" xfId="10866" xr:uid="{B9129315-A077-41CA-ACC2-641298C1A465}"/>
    <cellStyle name="40% - Accent3 9 4" xfId="19307" xr:uid="{65430C47-2566-4952-9289-DA015041B78C}"/>
    <cellStyle name="40% - Accent4" xfId="73" builtinId="43" customBuiltin="1"/>
    <cellStyle name="40% - Accent4 10" xfId="4576" xr:uid="{00000000-0005-0000-0000-0000A1050000}"/>
    <cellStyle name="40% - Accent4 10 2" xfId="13026" xr:uid="{60B05B7F-4B49-4945-A3C9-DAE183C902FB}"/>
    <cellStyle name="40% - Accent4 10 3" xfId="21466" xr:uid="{4FE15291-838D-422C-B816-B4A7E2ADA486}"/>
    <cellStyle name="40% - Accent4 11" xfId="8808" xr:uid="{940010DF-CD41-4064-A81C-41DABDA696B4}"/>
    <cellStyle name="40% - Accent4 12" xfId="17249" xr:uid="{42A14D09-3A22-4EF9-AD58-FAC41CF2DBCA}"/>
    <cellStyle name="40% - Accent4 2" xfId="74" xr:uid="{00000000-0005-0000-0000-0000A2050000}"/>
    <cellStyle name="40% - Accent4 2 10" xfId="8809" xr:uid="{C41391D4-3214-436C-A0EC-7695347C55CF}"/>
    <cellStyle name="40% - Accent4 2 11" xfId="17250" xr:uid="{29A12A0B-CEBD-48E6-8701-BE22FD4A02DC}"/>
    <cellStyle name="40% - Accent4 2 2" xfId="75" xr:uid="{00000000-0005-0000-0000-0000A3050000}"/>
    <cellStyle name="40% - Accent4 2 2 10" xfId="17251" xr:uid="{748D14D5-8DC9-432E-9187-CC664662D8A6}"/>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982DEBCC-DE8F-43D4-A749-1DE80C4F911E}"/>
    <cellStyle name="40% - Accent4 2 2 2 2 2 2 3" xfId="24028" xr:uid="{2270950E-51E4-4A3C-9902-D4EDA334CA0F}"/>
    <cellStyle name="40% - Accent4 2 2 2 2 2 3" xfId="11370" xr:uid="{393E5616-9B42-4A21-B466-D3133229C250}"/>
    <cellStyle name="40% - Accent4 2 2 2 2 2 4" xfId="19811" xr:uid="{FF3DE694-2235-4F30-911A-E47B3A4BB712}"/>
    <cellStyle name="40% - Accent4 2 2 2 2 3" xfId="4993" xr:uid="{00000000-0005-0000-0000-0000A8050000}"/>
    <cellStyle name="40% - Accent4 2 2 2 2 3 2" xfId="13443" xr:uid="{E40B25A3-2990-4C83-8D45-87D0F7C5D888}"/>
    <cellStyle name="40% - Accent4 2 2 2 2 3 3" xfId="21883" xr:uid="{21C46D13-9E3D-435E-BEE8-F34CE5A33D1F}"/>
    <cellStyle name="40% - Accent4 2 2 2 2 4" xfId="9225" xr:uid="{A48AEEFF-CBCF-41B3-991C-D490DF0CAEBB}"/>
    <cellStyle name="40% - Accent4 2 2 2 2 5" xfId="17666" xr:uid="{2D5A46F7-9815-4273-BDE6-DE28FE563573}"/>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0BF7F9F6-9339-4CCB-A1B7-055C08EC416C}"/>
    <cellStyle name="40% - Accent4 2 2 2 3 2 2 3" xfId="24441" xr:uid="{DC077B90-6E9E-4C28-AF56-67B30C4BF883}"/>
    <cellStyle name="40% - Accent4 2 2 2 3 2 3" xfId="11783" xr:uid="{C3D7639A-FB93-4D09-A946-A372E82770BB}"/>
    <cellStyle name="40% - Accent4 2 2 2 3 2 4" xfId="20224" xr:uid="{B731448E-5BC0-473C-8B73-DEC10BCFA504}"/>
    <cellStyle name="40% - Accent4 2 2 2 3 3" xfId="5406" xr:uid="{00000000-0005-0000-0000-0000AC050000}"/>
    <cellStyle name="40% - Accent4 2 2 2 3 3 2" xfId="13856" xr:uid="{CB67CD32-BCC5-4CC1-9F0B-8D57DF45F900}"/>
    <cellStyle name="40% - Accent4 2 2 2 3 3 3" xfId="22296" xr:uid="{CC8F422C-3D0E-49E0-86D1-21641B761A80}"/>
    <cellStyle name="40% - Accent4 2 2 2 3 4" xfId="9638" xr:uid="{8EFC1F27-AF5D-4055-850B-70A6D81BC83B}"/>
    <cellStyle name="40% - Accent4 2 2 2 3 5" xfId="18079" xr:uid="{B131336F-401A-45D9-A8D2-CA2408DEBA1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AB5B8B0F-C4B4-464F-91D7-3C45474EA54B}"/>
    <cellStyle name="40% - Accent4 2 2 2 4 2 2 3" xfId="24854" xr:uid="{CFBFE11F-6261-4AF5-8A9E-4D47E79D643B}"/>
    <cellStyle name="40% - Accent4 2 2 2 4 2 3" xfId="12196" xr:uid="{7E481680-355F-45E5-9A83-0B8B7C044DAA}"/>
    <cellStyle name="40% - Accent4 2 2 2 4 2 4" xfId="20637" xr:uid="{2841A5AB-D21C-46A0-801A-62ECC39688E7}"/>
    <cellStyle name="40% - Accent4 2 2 2 4 3" xfId="5819" xr:uid="{00000000-0005-0000-0000-0000B0050000}"/>
    <cellStyle name="40% - Accent4 2 2 2 4 3 2" xfId="14269" xr:uid="{0F1A08B6-A752-4B9B-8865-C2F326A01713}"/>
    <cellStyle name="40% - Accent4 2 2 2 4 3 3" xfId="22709" xr:uid="{7BAABCA4-5251-449C-857C-E0415D5A9416}"/>
    <cellStyle name="40% - Accent4 2 2 2 4 4" xfId="10051" xr:uid="{577EBB26-3578-4F8C-8BA1-C2B4B45DDEA6}"/>
    <cellStyle name="40% - Accent4 2 2 2 4 5" xfId="18492" xr:uid="{1D803AE3-BFCA-46FD-8488-4B941586D17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E2BFE793-5F66-44F7-9BE3-974D0D1A2B86}"/>
    <cellStyle name="40% - Accent4 2 2 2 5 2 2 3" xfId="25267" xr:uid="{67BC120F-5B2A-40BB-BD96-EBEE25E43241}"/>
    <cellStyle name="40% - Accent4 2 2 2 5 2 3" xfId="12609" xr:uid="{AEBD158E-162B-4792-823B-7AFB4E0CF4D6}"/>
    <cellStyle name="40% - Accent4 2 2 2 5 2 4" xfId="21050" xr:uid="{ED5DC9D3-6744-49C7-96E2-23C17742C332}"/>
    <cellStyle name="40% - Accent4 2 2 2 5 3" xfId="6232" xr:uid="{00000000-0005-0000-0000-0000B4050000}"/>
    <cellStyle name="40% - Accent4 2 2 2 5 3 2" xfId="14682" xr:uid="{D1E44274-B556-493F-AB21-2F1A0388C7AF}"/>
    <cellStyle name="40% - Accent4 2 2 2 5 3 3" xfId="23122" xr:uid="{DF15593B-3B0B-4FDE-BF6F-6EDA632EE8E4}"/>
    <cellStyle name="40% - Accent4 2 2 2 5 4" xfId="10464" xr:uid="{733CEBF9-E216-40F0-9013-0FD44B123DFD}"/>
    <cellStyle name="40% - Accent4 2 2 2 5 5" xfId="18905" xr:uid="{F1B8D65C-2503-43F9-9309-F0B2FCA2B8F0}"/>
    <cellStyle name="40% - Accent4 2 2 2 6" xfId="2339" xr:uid="{00000000-0005-0000-0000-0000B5050000}"/>
    <cellStyle name="40% - Accent4 2 2 2 6 2" xfId="6645" xr:uid="{00000000-0005-0000-0000-0000B6050000}"/>
    <cellStyle name="40% - Accent4 2 2 2 6 2 2" xfId="15095" xr:uid="{411A83A3-2B88-4BCA-9119-0D882694E90A}"/>
    <cellStyle name="40% - Accent4 2 2 2 6 2 3" xfId="23535" xr:uid="{2C03D2D9-9EB7-45A6-BF29-FCF3DCA69C8E}"/>
    <cellStyle name="40% - Accent4 2 2 2 6 3" xfId="10877" xr:uid="{0EAD0E46-8B19-4303-8CE0-D9349ACB3B85}"/>
    <cellStyle name="40% - Accent4 2 2 2 6 4" xfId="19318" xr:uid="{5B0EC707-F76D-4A3F-94C8-314D95EDDAE9}"/>
    <cellStyle name="40% - Accent4 2 2 2 7" xfId="4579" xr:uid="{00000000-0005-0000-0000-0000B7050000}"/>
    <cellStyle name="40% - Accent4 2 2 2 7 2" xfId="13029" xr:uid="{04EE9593-B63A-4B27-B37A-3CB83811C90B}"/>
    <cellStyle name="40% - Accent4 2 2 2 7 3" xfId="21469" xr:uid="{BAE2D6FE-BE14-450D-96FC-9CA7AC736FBC}"/>
    <cellStyle name="40% - Accent4 2 2 2 8" xfId="8811" xr:uid="{091CE28C-4C9E-4ADD-BAB3-CC16FFAE86B0}"/>
    <cellStyle name="40% - Accent4 2 2 2 9" xfId="17252" xr:uid="{884CC2F0-1FDC-4C83-AFE1-B3342E6D2117}"/>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7B11D512-EEE7-4CE1-81F5-FEEC17AC1C6A}"/>
    <cellStyle name="40% - Accent4 2 2 3 2 2 3" xfId="24027" xr:uid="{D3753B57-C9C6-43B1-9134-CB554C5D0DD7}"/>
    <cellStyle name="40% - Accent4 2 2 3 2 3" xfId="11369" xr:uid="{3D0B5E50-1434-4DB8-8EB0-787063001C42}"/>
    <cellStyle name="40% - Accent4 2 2 3 2 4" xfId="19810" xr:uid="{EA1FBE02-14BE-463F-BA6E-CA0D48FFF004}"/>
    <cellStyle name="40% - Accent4 2 2 3 3" xfId="4992" xr:uid="{00000000-0005-0000-0000-0000BB050000}"/>
    <cellStyle name="40% - Accent4 2 2 3 3 2" xfId="13442" xr:uid="{27C44C6A-5F51-4E29-8884-9FC0B8A157AC}"/>
    <cellStyle name="40% - Accent4 2 2 3 3 3" xfId="21882" xr:uid="{4C138382-525A-4F6A-9E05-8D80236C443E}"/>
    <cellStyle name="40% - Accent4 2 2 3 4" xfId="9224" xr:uid="{66F825E0-BED8-44F2-B22C-CFDE0EC370CC}"/>
    <cellStyle name="40% - Accent4 2 2 3 5" xfId="17665" xr:uid="{637E1CB5-7525-4431-9422-9468EE8D3B1A}"/>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6511A5BC-BACC-4D75-95F3-3E8694B1A3CD}"/>
    <cellStyle name="40% - Accent4 2 2 4 2 2 3" xfId="24440" xr:uid="{9CFB8188-F8B2-4354-A7A5-32A246D348CD}"/>
    <cellStyle name="40% - Accent4 2 2 4 2 3" xfId="11782" xr:uid="{1522BE04-F742-4D27-8395-E38A9A03E8E3}"/>
    <cellStyle name="40% - Accent4 2 2 4 2 4" xfId="20223" xr:uid="{2412744A-711D-44C4-A404-4C733B14477D}"/>
    <cellStyle name="40% - Accent4 2 2 4 3" xfId="5405" xr:uid="{00000000-0005-0000-0000-0000BF050000}"/>
    <cellStyle name="40% - Accent4 2 2 4 3 2" xfId="13855" xr:uid="{5CCBE714-8437-4329-8390-C0B4EDD366E3}"/>
    <cellStyle name="40% - Accent4 2 2 4 3 3" xfId="22295" xr:uid="{69E62AE2-2E1C-4425-85D3-518753BDA80F}"/>
    <cellStyle name="40% - Accent4 2 2 4 4" xfId="9637" xr:uid="{2A6C4984-2938-4EAB-A193-468C39FC2707}"/>
    <cellStyle name="40% - Accent4 2 2 4 5" xfId="18078" xr:uid="{F15A930C-91D4-454A-8531-495EBBBCFD44}"/>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2D1E6097-73F9-491B-BB52-9017E50C5BE1}"/>
    <cellStyle name="40% - Accent4 2 2 5 2 2 3" xfId="24853" xr:uid="{AB58C30B-E3AB-44C7-B9DE-F23D2BAA3771}"/>
    <cellStyle name="40% - Accent4 2 2 5 2 3" xfId="12195" xr:uid="{8F13C691-1234-459C-8459-2AF80047FCC9}"/>
    <cellStyle name="40% - Accent4 2 2 5 2 4" xfId="20636" xr:uid="{B35D735F-94F0-4490-82F3-B5661DFF5384}"/>
    <cellStyle name="40% - Accent4 2 2 5 3" xfId="5818" xr:uid="{00000000-0005-0000-0000-0000C3050000}"/>
    <cellStyle name="40% - Accent4 2 2 5 3 2" xfId="14268" xr:uid="{A53AB96E-7C5F-4894-84A1-E8AF02AD87A4}"/>
    <cellStyle name="40% - Accent4 2 2 5 3 3" xfId="22708" xr:uid="{EED11665-65BE-4329-A6C2-FFD15146FF47}"/>
    <cellStyle name="40% - Accent4 2 2 5 4" xfId="10050" xr:uid="{27FF63C5-51DF-470A-ABC0-60C97913DF1E}"/>
    <cellStyle name="40% - Accent4 2 2 5 5" xfId="18491" xr:uid="{58B58D90-0109-4D3B-9BD9-EA4123445241}"/>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DAFA420D-77F3-494D-8A50-5A7F51FB7A62}"/>
    <cellStyle name="40% - Accent4 2 2 6 2 2 3" xfId="25266" xr:uid="{D276C4AB-5E39-4017-A995-37C5ED7FFD8F}"/>
    <cellStyle name="40% - Accent4 2 2 6 2 3" xfId="12608" xr:uid="{37321FDD-D45E-4169-8B80-AA7518A14E87}"/>
    <cellStyle name="40% - Accent4 2 2 6 2 4" xfId="21049" xr:uid="{0D5A97D7-9658-42AA-9F03-487EAA5C06BE}"/>
    <cellStyle name="40% - Accent4 2 2 6 3" xfId="6231" xr:uid="{00000000-0005-0000-0000-0000C7050000}"/>
    <cellStyle name="40% - Accent4 2 2 6 3 2" xfId="14681" xr:uid="{1A411ECB-DC18-4DD5-A1E6-CE67233482E1}"/>
    <cellStyle name="40% - Accent4 2 2 6 3 3" xfId="23121" xr:uid="{F97A0554-393E-4D5B-8445-BC9A9857CEB0}"/>
    <cellStyle name="40% - Accent4 2 2 6 4" xfId="10463" xr:uid="{50D08B20-1BE4-43B8-9058-9CA772AA9D6E}"/>
    <cellStyle name="40% - Accent4 2 2 6 5" xfId="18904" xr:uid="{A68FB346-7E2D-49A0-9629-182F6309D2C7}"/>
    <cellStyle name="40% - Accent4 2 2 7" xfId="2338" xr:uid="{00000000-0005-0000-0000-0000C8050000}"/>
    <cellStyle name="40% - Accent4 2 2 7 2" xfId="6644" xr:uid="{00000000-0005-0000-0000-0000C9050000}"/>
    <cellStyle name="40% - Accent4 2 2 7 2 2" xfId="15094" xr:uid="{52BFC1C9-2801-4F1B-BF5E-69D3F8F84BEB}"/>
    <cellStyle name="40% - Accent4 2 2 7 2 3" xfId="23534" xr:uid="{38E126A1-629D-4C8B-95AD-57F8FD063ED2}"/>
    <cellStyle name="40% - Accent4 2 2 7 3" xfId="10876" xr:uid="{C1C28D51-A6A9-4C21-8179-587EAA631970}"/>
    <cellStyle name="40% - Accent4 2 2 7 4" xfId="19317" xr:uid="{59F4F890-CF84-4130-AAD5-9798FB3AEDDF}"/>
    <cellStyle name="40% - Accent4 2 2 8" xfId="4578" xr:uid="{00000000-0005-0000-0000-0000CA050000}"/>
    <cellStyle name="40% - Accent4 2 2 8 2" xfId="13028" xr:uid="{468A3F9F-B8E6-4427-921D-F71894E751EB}"/>
    <cellStyle name="40% - Accent4 2 2 8 3" xfId="21468" xr:uid="{81267B71-6C78-4ECD-8D8F-2C58695CEAA9}"/>
    <cellStyle name="40% - Accent4 2 2 9" xfId="8810" xr:uid="{F5F80475-F479-4B65-8575-7D20548A602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DD150D71-D159-4D52-A7C2-A8E30C787D31}"/>
    <cellStyle name="40% - Accent4 2 3 2 2 2 3" xfId="24029" xr:uid="{820F4AA5-8B52-431F-9CA9-E04EDF7CBBA5}"/>
    <cellStyle name="40% - Accent4 2 3 2 2 3" xfId="11371" xr:uid="{D1DB157A-14B8-4CCD-8787-AA5FA35051DE}"/>
    <cellStyle name="40% - Accent4 2 3 2 2 4" xfId="19812" xr:uid="{75E98117-4373-4F25-9D8B-FAC3B40A6F0D}"/>
    <cellStyle name="40% - Accent4 2 3 2 3" xfId="4994" xr:uid="{00000000-0005-0000-0000-0000CF050000}"/>
    <cellStyle name="40% - Accent4 2 3 2 3 2" xfId="13444" xr:uid="{302378AB-ED05-48E4-B058-7CC0167E8808}"/>
    <cellStyle name="40% - Accent4 2 3 2 3 3" xfId="21884" xr:uid="{518774AE-817A-4257-9E77-D84BF5E98F70}"/>
    <cellStyle name="40% - Accent4 2 3 2 4" xfId="9226" xr:uid="{88FD29C1-2DCB-47DB-9E9F-9C6E1FC16099}"/>
    <cellStyle name="40% - Accent4 2 3 2 5" xfId="17667" xr:uid="{6D2C6E8C-819C-45E8-921D-C7E6F6B261D7}"/>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38F0C8C4-1F28-43B4-9BA9-B1197DB1A21F}"/>
    <cellStyle name="40% - Accent4 2 3 3 2 2 3" xfId="24442" xr:uid="{7C7D402E-BB99-4D46-AFA1-6EA7A4728ADB}"/>
    <cellStyle name="40% - Accent4 2 3 3 2 3" xfId="11784" xr:uid="{C957B02C-5E8A-4881-B25F-EDFDA21A5C43}"/>
    <cellStyle name="40% - Accent4 2 3 3 2 4" xfId="20225" xr:uid="{AAFC3ACC-88A0-4E5F-B203-351EF0785F11}"/>
    <cellStyle name="40% - Accent4 2 3 3 3" xfId="5407" xr:uid="{00000000-0005-0000-0000-0000D3050000}"/>
    <cellStyle name="40% - Accent4 2 3 3 3 2" xfId="13857" xr:uid="{A878C513-6FDC-47B6-8E02-147484094CD2}"/>
    <cellStyle name="40% - Accent4 2 3 3 3 3" xfId="22297" xr:uid="{BD926F5E-4668-4A0C-AB19-9F7D6FE5D2BA}"/>
    <cellStyle name="40% - Accent4 2 3 3 4" xfId="9639" xr:uid="{47E1E33D-A453-462F-8CBD-96314EC75200}"/>
    <cellStyle name="40% - Accent4 2 3 3 5" xfId="18080" xr:uid="{82D335F8-5629-41EE-9DAB-60F211478CA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7EBE675C-2E73-4CDB-82C1-94025E180899}"/>
    <cellStyle name="40% - Accent4 2 3 4 2 2 3" xfId="24855" xr:uid="{585D4B22-807D-4ACE-93F9-42FEE396027E}"/>
    <cellStyle name="40% - Accent4 2 3 4 2 3" xfId="12197" xr:uid="{96892BDE-FA8C-4514-B171-47AB6BDBC2C8}"/>
    <cellStyle name="40% - Accent4 2 3 4 2 4" xfId="20638" xr:uid="{FA55A642-2A5A-4E5D-896B-FD279F0E969C}"/>
    <cellStyle name="40% - Accent4 2 3 4 3" xfId="5820" xr:uid="{00000000-0005-0000-0000-0000D7050000}"/>
    <cellStyle name="40% - Accent4 2 3 4 3 2" xfId="14270" xr:uid="{0FB5592C-35F9-4D39-A2EB-153A1929495A}"/>
    <cellStyle name="40% - Accent4 2 3 4 3 3" xfId="22710" xr:uid="{90303F7B-B5A3-47EB-9965-8B6FE83C13EA}"/>
    <cellStyle name="40% - Accent4 2 3 4 4" xfId="10052" xr:uid="{B96A5C3F-7983-43ED-B8FB-3079AEFCC4AE}"/>
    <cellStyle name="40% - Accent4 2 3 4 5" xfId="18493" xr:uid="{7239DDA9-486B-4DB7-A608-EAAE771FB44B}"/>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FAA7C6F0-17C5-472E-9FCA-F2D853B32A10}"/>
    <cellStyle name="40% - Accent4 2 3 5 2 2 3" xfId="25268" xr:uid="{D41CC83B-67A5-4B5E-A0FD-C654BB5C46E9}"/>
    <cellStyle name="40% - Accent4 2 3 5 2 3" xfId="12610" xr:uid="{536A38FD-03D9-4D17-9B2E-B4ED35CF3C48}"/>
    <cellStyle name="40% - Accent4 2 3 5 2 4" xfId="21051" xr:uid="{6182BBA0-7991-4569-8039-23ADEAEEADD7}"/>
    <cellStyle name="40% - Accent4 2 3 5 3" xfId="6233" xr:uid="{00000000-0005-0000-0000-0000DB050000}"/>
    <cellStyle name="40% - Accent4 2 3 5 3 2" xfId="14683" xr:uid="{FA044336-E359-442E-AE40-F7439DEFDD07}"/>
    <cellStyle name="40% - Accent4 2 3 5 3 3" xfId="23123" xr:uid="{84E17CFD-8841-47ED-AD80-981B40D37EED}"/>
    <cellStyle name="40% - Accent4 2 3 5 4" xfId="10465" xr:uid="{6F541FE2-F80B-496E-A989-2276D25EAFC6}"/>
    <cellStyle name="40% - Accent4 2 3 5 5" xfId="18906" xr:uid="{6CB4345B-5DF6-4FA1-9B81-C4BB23223D45}"/>
    <cellStyle name="40% - Accent4 2 3 6" xfId="2340" xr:uid="{00000000-0005-0000-0000-0000DC050000}"/>
    <cellStyle name="40% - Accent4 2 3 6 2" xfId="6646" xr:uid="{00000000-0005-0000-0000-0000DD050000}"/>
    <cellStyle name="40% - Accent4 2 3 6 2 2" xfId="15096" xr:uid="{8A492586-87A9-473C-94B7-E85737FDAAB7}"/>
    <cellStyle name="40% - Accent4 2 3 6 2 3" xfId="23536" xr:uid="{0ADCD142-BDD5-4BF9-B071-80E266137609}"/>
    <cellStyle name="40% - Accent4 2 3 6 3" xfId="10878" xr:uid="{21CE6509-C3D7-438B-A1FB-24E8DC920183}"/>
    <cellStyle name="40% - Accent4 2 3 6 4" xfId="19319" xr:uid="{14F3602C-D0E3-44B6-A14F-C2A9DAE3BC7B}"/>
    <cellStyle name="40% - Accent4 2 3 7" xfId="4580" xr:uid="{00000000-0005-0000-0000-0000DE050000}"/>
    <cellStyle name="40% - Accent4 2 3 7 2" xfId="13030" xr:uid="{DBE85A3A-1CE9-46A0-87DC-2579B59F225A}"/>
    <cellStyle name="40% - Accent4 2 3 7 3" xfId="21470" xr:uid="{94463E9C-18B6-41E1-AE6B-14F81047B5E9}"/>
    <cellStyle name="40% - Accent4 2 3 8" xfId="8812" xr:uid="{E11DE79B-49CC-4473-95DC-69990DE085DE}"/>
    <cellStyle name="40% - Accent4 2 3 9" xfId="17253" xr:uid="{D8094693-D0C4-409A-9B0D-D2A0D7C6C7E6}"/>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237F80D5-97F3-44B4-A762-79FF1A06BAEE}"/>
    <cellStyle name="40% - Accent4 2 4 2 2 3" xfId="24026" xr:uid="{9537610F-0809-425F-891D-FE0E8413AD18}"/>
    <cellStyle name="40% - Accent4 2 4 2 3" xfId="11368" xr:uid="{FF082226-905A-4A6A-9B11-3FA99C8FB361}"/>
    <cellStyle name="40% - Accent4 2 4 2 4" xfId="19809" xr:uid="{B6AD4C78-1924-4AE1-B5CA-12F1771ED640}"/>
    <cellStyle name="40% - Accent4 2 4 3" xfId="4991" xr:uid="{00000000-0005-0000-0000-0000E2050000}"/>
    <cellStyle name="40% - Accent4 2 4 3 2" xfId="13441" xr:uid="{15695B69-1BA4-4D53-B6D6-5C9E23CBC2E8}"/>
    <cellStyle name="40% - Accent4 2 4 3 3" xfId="21881" xr:uid="{D9441EBD-4620-4806-BCB6-900ECCEE7009}"/>
    <cellStyle name="40% - Accent4 2 4 4" xfId="9223" xr:uid="{9CB7E86D-B712-4394-AFFF-0AA01B721D61}"/>
    <cellStyle name="40% - Accent4 2 4 5" xfId="17664" xr:uid="{CDB79F6A-34D1-4EF3-B47A-9B893DC7EE40}"/>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64F00665-DA26-49F8-8408-AA84C4BCDD21}"/>
    <cellStyle name="40% - Accent4 2 5 2 2 3" xfId="24439" xr:uid="{EA21E3D8-8E64-4640-BE12-5BB9EBBF6F91}"/>
    <cellStyle name="40% - Accent4 2 5 2 3" xfId="11781" xr:uid="{9989ABEA-A170-4A83-B14C-1CCD2085843D}"/>
    <cellStyle name="40% - Accent4 2 5 2 4" xfId="20222" xr:uid="{2B1B90A2-32D4-4A9C-B135-6BB19304EDF5}"/>
    <cellStyle name="40% - Accent4 2 5 3" xfId="5404" xr:uid="{00000000-0005-0000-0000-0000E6050000}"/>
    <cellStyle name="40% - Accent4 2 5 3 2" xfId="13854" xr:uid="{4DBAF53B-9562-4500-B43A-8698DFC0AB4C}"/>
    <cellStyle name="40% - Accent4 2 5 3 3" xfId="22294" xr:uid="{A847EB92-82A1-44F4-8D41-B1083D95BBE3}"/>
    <cellStyle name="40% - Accent4 2 5 4" xfId="9636" xr:uid="{1E0996CC-AC6B-425A-8588-E5FC2C8D639B}"/>
    <cellStyle name="40% - Accent4 2 5 5" xfId="18077" xr:uid="{270007CD-3DAC-4E64-A1E1-6A0F56ADFC10}"/>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AE9AA119-9813-48CA-ACF7-17C209D8D855}"/>
    <cellStyle name="40% - Accent4 2 6 2 2 3" xfId="24852" xr:uid="{AB744CC5-D1B2-48E1-8308-EA0C1ABF3110}"/>
    <cellStyle name="40% - Accent4 2 6 2 3" xfId="12194" xr:uid="{170CF472-4F1F-4303-A608-E2AE360056F3}"/>
    <cellStyle name="40% - Accent4 2 6 2 4" xfId="20635" xr:uid="{FFF1A5C1-CD0F-49B4-A598-8461566E83C9}"/>
    <cellStyle name="40% - Accent4 2 6 3" xfId="5817" xr:uid="{00000000-0005-0000-0000-0000EA050000}"/>
    <cellStyle name="40% - Accent4 2 6 3 2" xfId="14267" xr:uid="{1396C9EF-ED47-44AD-AFB0-F014F256B893}"/>
    <cellStyle name="40% - Accent4 2 6 3 3" xfId="22707" xr:uid="{29463641-0909-4337-9AE4-EDFBD1CD1675}"/>
    <cellStyle name="40% - Accent4 2 6 4" xfId="10049" xr:uid="{DE985CF3-8A33-432B-B26A-5C2826C1A253}"/>
    <cellStyle name="40% - Accent4 2 6 5" xfId="18490" xr:uid="{F56B059E-24D4-4F50-8A04-B4A5166CF910}"/>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4B8EA400-6C14-4698-9F4B-26D293C686B4}"/>
    <cellStyle name="40% - Accent4 2 7 2 2 3" xfId="25265" xr:uid="{D96A933E-493C-430D-90FC-73C74F6EFC81}"/>
    <cellStyle name="40% - Accent4 2 7 2 3" xfId="12607" xr:uid="{3699D0BF-511B-4C73-98C0-0D6CCE8E055D}"/>
    <cellStyle name="40% - Accent4 2 7 2 4" xfId="21048" xr:uid="{1C0408F2-68DC-4ABE-9339-DC65E57C8264}"/>
    <cellStyle name="40% - Accent4 2 7 3" xfId="6230" xr:uid="{00000000-0005-0000-0000-0000EE050000}"/>
    <cellStyle name="40% - Accent4 2 7 3 2" xfId="14680" xr:uid="{5263A6F3-7F53-4E6D-9F0D-16B85258DE62}"/>
    <cellStyle name="40% - Accent4 2 7 3 3" xfId="23120" xr:uid="{557D1DC4-E1FC-4D12-8EF2-03AB0D957F0C}"/>
    <cellStyle name="40% - Accent4 2 7 4" xfId="10462" xr:uid="{62666A07-C76A-4691-8694-2EA08CCBBBA9}"/>
    <cellStyle name="40% - Accent4 2 7 5" xfId="18903" xr:uid="{384CF414-CB15-491C-9A99-C7A50F51E157}"/>
    <cellStyle name="40% - Accent4 2 8" xfId="2337" xr:uid="{00000000-0005-0000-0000-0000EF050000}"/>
    <cellStyle name="40% - Accent4 2 8 2" xfId="6643" xr:uid="{00000000-0005-0000-0000-0000F0050000}"/>
    <cellStyle name="40% - Accent4 2 8 2 2" xfId="15093" xr:uid="{306BA591-7988-4B3D-864B-FD25DC5E889A}"/>
    <cellStyle name="40% - Accent4 2 8 2 3" xfId="23533" xr:uid="{CB0313F1-3609-4E29-BF87-19192C81B941}"/>
    <cellStyle name="40% - Accent4 2 8 3" xfId="10875" xr:uid="{4E141B38-6B07-4BC7-8D3F-F4B66BFFF79F}"/>
    <cellStyle name="40% - Accent4 2 8 4" xfId="19316" xr:uid="{ADE22FCA-039E-4082-9E93-2D1BA3B1AE54}"/>
    <cellStyle name="40% - Accent4 2 9" xfId="4577" xr:uid="{00000000-0005-0000-0000-0000F1050000}"/>
    <cellStyle name="40% - Accent4 2 9 2" xfId="13027" xr:uid="{D9C9856E-6C71-410C-A786-CD3554B2AC71}"/>
    <cellStyle name="40% - Accent4 2 9 3" xfId="21467" xr:uid="{ADD94726-20CA-4E57-B6E1-904A32BC8A63}"/>
    <cellStyle name="40% - Accent4 3" xfId="78" xr:uid="{00000000-0005-0000-0000-0000F2050000}"/>
    <cellStyle name="40% - Accent4 3 10" xfId="17254" xr:uid="{8959DA29-0B09-47C2-B867-6E2789D133B4}"/>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A7A54027-3A92-40C5-A740-51914E7C1321}"/>
    <cellStyle name="40% - Accent4 3 2 2 2 2 3" xfId="24031" xr:uid="{11E7CFFC-1391-4E2D-BDB3-B80859BB8D9B}"/>
    <cellStyle name="40% - Accent4 3 2 2 2 3" xfId="11373" xr:uid="{34A367FA-0DEF-4019-BEF0-81A7451DD531}"/>
    <cellStyle name="40% - Accent4 3 2 2 2 4" xfId="19814" xr:uid="{9E4458AF-C449-4177-A19F-02C4CCDE5BFF}"/>
    <cellStyle name="40% - Accent4 3 2 2 3" xfId="4996" xr:uid="{00000000-0005-0000-0000-0000F7050000}"/>
    <cellStyle name="40% - Accent4 3 2 2 3 2" xfId="13446" xr:uid="{399418E8-A0C6-4640-9922-704A8FCEFF74}"/>
    <cellStyle name="40% - Accent4 3 2 2 3 3" xfId="21886" xr:uid="{05C42CA3-B505-4E76-BEBC-E4D8A6C6E503}"/>
    <cellStyle name="40% - Accent4 3 2 2 4" xfId="9228" xr:uid="{4AEC943E-C7CF-413B-91D1-B0E7080E3EDC}"/>
    <cellStyle name="40% - Accent4 3 2 2 5" xfId="17669" xr:uid="{E60D324C-BCE8-4FE2-9C49-94C2DABBC17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631FF3EF-ECAF-437C-8CA0-A7267D93DAE2}"/>
    <cellStyle name="40% - Accent4 3 2 3 2 2 3" xfId="24444" xr:uid="{9A53BB18-04D1-4EAF-8A84-DD1EABD16CF9}"/>
    <cellStyle name="40% - Accent4 3 2 3 2 3" xfId="11786" xr:uid="{04208672-385A-4B88-AA46-EC45BA1CF4E7}"/>
    <cellStyle name="40% - Accent4 3 2 3 2 4" xfId="20227" xr:uid="{6971EB08-9C03-4C9C-8758-02E8B86AB14F}"/>
    <cellStyle name="40% - Accent4 3 2 3 3" xfId="5409" xr:uid="{00000000-0005-0000-0000-0000FB050000}"/>
    <cellStyle name="40% - Accent4 3 2 3 3 2" xfId="13859" xr:uid="{371F9CB7-A943-4052-A175-E200269DE110}"/>
    <cellStyle name="40% - Accent4 3 2 3 3 3" xfId="22299" xr:uid="{631B1C87-9119-45EE-BE44-114E54102167}"/>
    <cellStyle name="40% - Accent4 3 2 3 4" xfId="9641" xr:uid="{527333A1-E466-45E5-BDDC-331B6C90C75C}"/>
    <cellStyle name="40% - Accent4 3 2 3 5" xfId="18082" xr:uid="{230C7B1E-6159-43F3-A43F-28268F807DA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36B03379-2D05-4DDD-A64D-F7A3CF991F93}"/>
    <cellStyle name="40% - Accent4 3 2 4 2 2 3" xfId="24857" xr:uid="{AC0EEBD4-6012-4B10-9B78-098374803131}"/>
    <cellStyle name="40% - Accent4 3 2 4 2 3" xfId="12199" xr:uid="{5F3C5138-EA83-43CF-AA3D-02818D319522}"/>
    <cellStyle name="40% - Accent4 3 2 4 2 4" xfId="20640" xr:uid="{271D36B1-A95B-4463-8ADE-3399DC8C758B}"/>
    <cellStyle name="40% - Accent4 3 2 4 3" xfId="5822" xr:uid="{00000000-0005-0000-0000-0000FF050000}"/>
    <cellStyle name="40% - Accent4 3 2 4 3 2" xfId="14272" xr:uid="{87D49F15-28F1-4DBB-8929-B19478862EF3}"/>
    <cellStyle name="40% - Accent4 3 2 4 3 3" xfId="22712" xr:uid="{A29F2020-1918-40C8-9957-3B00B2E519C4}"/>
    <cellStyle name="40% - Accent4 3 2 4 4" xfId="10054" xr:uid="{D9DA3B50-C0B5-4576-A1AE-A5AF77D62ECC}"/>
    <cellStyle name="40% - Accent4 3 2 4 5" xfId="18495" xr:uid="{5164B889-1C1C-4668-8261-AF7B14ECEBD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B4DE775C-8900-430E-A546-59ACDF04DE15}"/>
    <cellStyle name="40% - Accent4 3 2 5 2 2 3" xfId="25270" xr:uid="{A0EB74D0-0BE9-4B56-9C9F-185577CD2F61}"/>
    <cellStyle name="40% - Accent4 3 2 5 2 3" xfId="12612" xr:uid="{871EE607-1F6F-445A-B861-21CD8B683AD9}"/>
    <cellStyle name="40% - Accent4 3 2 5 2 4" xfId="21053" xr:uid="{14B8B85C-EF5B-4EDC-A953-0CA92C319F8F}"/>
    <cellStyle name="40% - Accent4 3 2 5 3" xfId="6235" xr:uid="{00000000-0005-0000-0000-000003060000}"/>
    <cellStyle name="40% - Accent4 3 2 5 3 2" xfId="14685" xr:uid="{383C7C76-409E-46B0-8654-56BE5F35E467}"/>
    <cellStyle name="40% - Accent4 3 2 5 3 3" xfId="23125" xr:uid="{9FA98EAD-AA46-4471-8D6B-FB22005380CC}"/>
    <cellStyle name="40% - Accent4 3 2 5 4" xfId="10467" xr:uid="{5797632B-9B2E-4FBD-B6CB-4F15B68E7D6B}"/>
    <cellStyle name="40% - Accent4 3 2 5 5" xfId="18908" xr:uid="{700D661C-0B61-4BC0-80C3-D4AD23FABEEF}"/>
    <cellStyle name="40% - Accent4 3 2 6" xfId="2342" xr:uid="{00000000-0005-0000-0000-000004060000}"/>
    <cellStyle name="40% - Accent4 3 2 6 2" xfId="6648" xr:uid="{00000000-0005-0000-0000-000005060000}"/>
    <cellStyle name="40% - Accent4 3 2 6 2 2" xfId="15098" xr:uid="{D5E5B997-2A53-4102-8A05-EC1C15D2179B}"/>
    <cellStyle name="40% - Accent4 3 2 6 2 3" xfId="23538" xr:uid="{5F9E684F-1F96-4797-8B60-11B600024E56}"/>
    <cellStyle name="40% - Accent4 3 2 6 3" xfId="10880" xr:uid="{01F098D4-8582-423E-96DF-FFE76E639300}"/>
    <cellStyle name="40% - Accent4 3 2 6 4" xfId="19321" xr:uid="{543A0F67-3E59-4B79-BBFF-01F76AFD000F}"/>
    <cellStyle name="40% - Accent4 3 2 7" xfId="4582" xr:uid="{00000000-0005-0000-0000-000006060000}"/>
    <cellStyle name="40% - Accent4 3 2 7 2" xfId="13032" xr:uid="{56C1D853-672A-4DC9-B552-7922690CF205}"/>
    <cellStyle name="40% - Accent4 3 2 7 3" xfId="21472" xr:uid="{5F111389-A2A9-4C16-9A0D-2BB712662769}"/>
    <cellStyle name="40% - Accent4 3 2 8" xfId="8814" xr:uid="{3B8EE93A-046F-4D37-9BEE-EF67725E2602}"/>
    <cellStyle name="40% - Accent4 3 2 9" xfId="17255" xr:uid="{FCECFEB4-60BF-41BA-95BD-B911191B8D44}"/>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95AB350B-CF1D-40BE-BF02-831B7DD3A626}"/>
    <cellStyle name="40% - Accent4 3 3 2 2 3" xfId="24030" xr:uid="{896C8D67-2CE5-4883-91A4-A391E6837AD4}"/>
    <cellStyle name="40% - Accent4 3 3 2 3" xfId="11372" xr:uid="{07F14AB4-D482-417B-B521-2943036E3749}"/>
    <cellStyle name="40% - Accent4 3 3 2 4" xfId="19813" xr:uid="{C24A8CAB-AAD6-43A0-8CC2-A37BAFCC9DA5}"/>
    <cellStyle name="40% - Accent4 3 3 3" xfId="4995" xr:uid="{00000000-0005-0000-0000-00000A060000}"/>
    <cellStyle name="40% - Accent4 3 3 3 2" xfId="13445" xr:uid="{A1EAA44C-32C3-4ECB-A447-C90ACBF31281}"/>
    <cellStyle name="40% - Accent4 3 3 3 3" xfId="21885" xr:uid="{ED531FA2-E29C-4EC8-BFFE-A0EB517D6879}"/>
    <cellStyle name="40% - Accent4 3 3 4" xfId="9227" xr:uid="{339032F7-6645-4980-AAF6-B168C5D2F968}"/>
    <cellStyle name="40% - Accent4 3 3 5" xfId="17668" xr:uid="{E516FF80-B10D-42ED-BDF4-47E2C0BD4452}"/>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C885B196-DA42-4F23-BBED-35D946609FCC}"/>
    <cellStyle name="40% - Accent4 3 4 2 2 3" xfId="24443" xr:uid="{8AD253EE-4246-4509-BDEE-46A960012FAD}"/>
    <cellStyle name="40% - Accent4 3 4 2 3" xfId="11785" xr:uid="{22105728-437D-4770-9960-2716E5C06F42}"/>
    <cellStyle name="40% - Accent4 3 4 2 4" xfId="20226" xr:uid="{04B29330-0334-4DE1-8C41-29A918722049}"/>
    <cellStyle name="40% - Accent4 3 4 3" xfId="5408" xr:uid="{00000000-0005-0000-0000-00000E060000}"/>
    <cellStyle name="40% - Accent4 3 4 3 2" xfId="13858" xr:uid="{33DE6E75-2567-4829-9688-4F61FDA5B836}"/>
    <cellStyle name="40% - Accent4 3 4 3 3" xfId="22298" xr:uid="{358DC770-2468-4D1C-8DD2-9D5571051C23}"/>
    <cellStyle name="40% - Accent4 3 4 4" xfId="9640" xr:uid="{17A80DA3-0D23-41CB-9A24-A7D9330B31A5}"/>
    <cellStyle name="40% - Accent4 3 4 5" xfId="18081" xr:uid="{C9A2BEC7-AF3B-48EF-8337-8B0D3CEFF539}"/>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E4B00361-27D1-4BF3-84BF-CE5B58EAEA98}"/>
    <cellStyle name="40% - Accent4 3 5 2 2 3" xfId="24856" xr:uid="{5E848C6D-EE6B-44FF-BB8B-3D3BD9FD5223}"/>
    <cellStyle name="40% - Accent4 3 5 2 3" xfId="12198" xr:uid="{9F83ACCC-799E-4DE6-92FC-E0C2C32CB611}"/>
    <cellStyle name="40% - Accent4 3 5 2 4" xfId="20639" xr:uid="{15F9CDDE-192A-4785-A135-655C9105F2F7}"/>
    <cellStyle name="40% - Accent4 3 5 3" xfId="5821" xr:uid="{00000000-0005-0000-0000-000012060000}"/>
    <cellStyle name="40% - Accent4 3 5 3 2" xfId="14271" xr:uid="{DCF15FBF-B1EA-4705-BCB2-10F96AE57600}"/>
    <cellStyle name="40% - Accent4 3 5 3 3" xfId="22711" xr:uid="{533AB77B-18AA-468F-88E0-3C84AD3D2658}"/>
    <cellStyle name="40% - Accent4 3 5 4" xfId="10053" xr:uid="{36350CDE-A9F7-48A0-A12B-E6A3243582BC}"/>
    <cellStyle name="40% - Accent4 3 5 5" xfId="18494" xr:uid="{3757AC71-55C1-4CBA-A4A8-AB387DC2811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94239557-79B7-4B27-848C-653722D93B30}"/>
    <cellStyle name="40% - Accent4 3 6 2 2 3" xfId="25269" xr:uid="{6014EC51-2634-4394-9072-03583CAC40A9}"/>
    <cellStyle name="40% - Accent4 3 6 2 3" xfId="12611" xr:uid="{48CFC818-36BA-41B2-9C15-4ECFD458573C}"/>
    <cellStyle name="40% - Accent4 3 6 2 4" xfId="21052" xr:uid="{3F9AAE8E-2E6E-4705-BAA1-2BDAA7D594A8}"/>
    <cellStyle name="40% - Accent4 3 6 3" xfId="6234" xr:uid="{00000000-0005-0000-0000-000016060000}"/>
    <cellStyle name="40% - Accent4 3 6 3 2" xfId="14684" xr:uid="{D17CD3D5-D812-45B2-9DFF-0B2E0FC0BDC8}"/>
    <cellStyle name="40% - Accent4 3 6 3 3" xfId="23124" xr:uid="{111F5F39-AD90-4D84-8B92-B5D280DF24FB}"/>
    <cellStyle name="40% - Accent4 3 6 4" xfId="10466" xr:uid="{91F1903D-44FA-462C-BE8E-46D70A2E11DD}"/>
    <cellStyle name="40% - Accent4 3 6 5" xfId="18907" xr:uid="{E9DEB536-DCB0-4385-AFD4-CD1F55B0CFD7}"/>
    <cellStyle name="40% - Accent4 3 7" xfId="2341" xr:uid="{00000000-0005-0000-0000-000017060000}"/>
    <cellStyle name="40% - Accent4 3 7 2" xfId="6647" xr:uid="{00000000-0005-0000-0000-000018060000}"/>
    <cellStyle name="40% - Accent4 3 7 2 2" xfId="15097" xr:uid="{4186FAAB-F54E-4D46-B59C-B8E787A3E124}"/>
    <cellStyle name="40% - Accent4 3 7 2 3" xfId="23537" xr:uid="{7B8F9672-5C3F-4F09-B2F9-2E7365762C62}"/>
    <cellStyle name="40% - Accent4 3 7 3" xfId="10879" xr:uid="{6AD9D195-030A-45C2-BE42-7661CF006D38}"/>
    <cellStyle name="40% - Accent4 3 7 4" xfId="19320" xr:uid="{DF086136-08BF-4473-B0D1-A760762A5498}"/>
    <cellStyle name="40% - Accent4 3 8" xfId="4581" xr:uid="{00000000-0005-0000-0000-000019060000}"/>
    <cellStyle name="40% - Accent4 3 8 2" xfId="13031" xr:uid="{C5B56904-3D88-4387-A8DE-CFAD0DC1E886}"/>
    <cellStyle name="40% - Accent4 3 8 3" xfId="21471" xr:uid="{2B9D7FA4-5ED4-4A36-9209-76F784449435}"/>
    <cellStyle name="40% - Accent4 3 9" xfId="8813" xr:uid="{66F3B77B-915B-4ABD-9CB9-6D2E5C92E7F6}"/>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780910F0-62FC-4916-BB4B-5FFA58ABFFA0}"/>
    <cellStyle name="40% - Accent4 4 2 2 2 3" xfId="24032" xr:uid="{EA95A285-758D-455C-A375-218DBD2F9482}"/>
    <cellStyle name="40% - Accent4 4 2 2 3" xfId="11374" xr:uid="{BA820DFC-BDD4-4422-87AF-04B9C30FBA29}"/>
    <cellStyle name="40% - Accent4 4 2 2 4" xfId="19815" xr:uid="{49473495-ABA4-4C02-BBE7-BE0CE6BFF03C}"/>
    <cellStyle name="40% - Accent4 4 2 3" xfId="4997" xr:uid="{00000000-0005-0000-0000-00001E060000}"/>
    <cellStyle name="40% - Accent4 4 2 3 2" xfId="13447" xr:uid="{77F4BEE5-78A1-430A-92BF-E03D9E5B61E0}"/>
    <cellStyle name="40% - Accent4 4 2 3 3" xfId="21887" xr:uid="{385048FD-0D7F-46CE-9ACF-2CF5535E418A}"/>
    <cellStyle name="40% - Accent4 4 2 4" xfId="9229" xr:uid="{5B510D84-4E4A-4761-83BE-EFF6F0A6AA1F}"/>
    <cellStyle name="40% - Accent4 4 2 5" xfId="17670" xr:uid="{13F85511-6756-4D81-92C4-672266AFE7B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09EEF547-17AA-4C20-A2A8-AB23B04CD3E1}"/>
    <cellStyle name="40% - Accent4 4 3 2 2 3" xfId="24445" xr:uid="{965739BE-D2DE-4083-82C3-98E1682B0239}"/>
    <cellStyle name="40% - Accent4 4 3 2 3" xfId="11787" xr:uid="{919BCB60-1A21-414D-9602-E076B1B90371}"/>
    <cellStyle name="40% - Accent4 4 3 2 4" xfId="20228" xr:uid="{0750F818-1679-42C3-8CBD-AA35E9E6C484}"/>
    <cellStyle name="40% - Accent4 4 3 3" xfId="5410" xr:uid="{00000000-0005-0000-0000-000022060000}"/>
    <cellStyle name="40% - Accent4 4 3 3 2" xfId="13860" xr:uid="{A34524CA-B495-49E4-9019-EBF61DC21A09}"/>
    <cellStyle name="40% - Accent4 4 3 3 3" xfId="22300" xr:uid="{C4E417EE-DE80-45E1-B117-475625C67160}"/>
    <cellStyle name="40% - Accent4 4 3 4" xfId="9642" xr:uid="{A41CD003-8501-43DD-97E4-794978897520}"/>
    <cellStyle name="40% - Accent4 4 3 5" xfId="18083" xr:uid="{A3892847-FECD-4A81-82D8-D29C523DBEA9}"/>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7278E11A-4394-45C8-A293-438585E2A5F0}"/>
    <cellStyle name="40% - Accent4 4 4 2 2 3" xfId="24858" xr:uid="{3AF38213-54E7-4689-94E2-1357EE7BC205}"/>
    <cellStyle name="40% - Accent4 4 4 2 3" xfId="12200" xr:uid="{409ED999-610F-419A-BAB7-BAD1368E85E7}"/>
    <cellStyle name="40% - Accent4 4 4 2 4" xfId="20641" xr:uid="{27797075-6682-4A69-825A-1A62277B85F2}"/>
    <cellStyle name="40% - Accent4 4 4 3" xfId="5823" xr:uid="{00000000-0005-0000-0000-000026060000}"/>
    <cellStyle name="40% - Accent4 4 4 3 2" xfId="14273" xr:uid="{D4011B50-03E8-4F87-A813-6DD88F240A80}"/>
    <cellStyle name="40% - Accent4 4 4 3 3" xfId="22713" xr:uid="{9F5920ED-4D47-429C-B33E-B402E0FA928E}"/>
    <cellStyle name="40% - Accent4 4 4 4" xfId="10055" xr:uid="{93B35E38-3608-46DD-A22B-91B2F5FF2B98}"/>
    <cellStyle name="40% - Accent4 4 4 5" xfId="18496" xr:uid="{FCB8DF12-2E63-4F05-B215-81840B2B06E4}"/>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1D79353E-BBA7-4D97-9251-C35514ABA17D}"/>
    <cellStyle name="40% - Accent4 4 5 2 2 3" xfId="25271" xr:uid="{524BB487-C775-4D97-8D32-709E6A2FD28E}"/>
    <cellStyle name="40% - Accent4 4 5 2 3" xfId="12613" xr:uid="{F223F57A-366C-4669-AAD5-26780B8D9C63}"/>
    <cellStyle name="40% - Accent4 4 5 2 4" xfId="21054" xr:uid="{1AD01135-C1D4-4EA7-B4F5-C3FD88625CBF}"/>
    <cellStyle name="40% - Accent4 4 5 3" xfId="6236" xr:uid="{00000000-0005-0000-0000-00002A060000}"/>
    <cellStyle name="40% - Accent4 4 5 3 2" xfId="14686" xr:uid="{1356F583-6D58-4430-99CF-7F75B420432D}"/>
    <cellStyle name="40% - Accent4 4 5 3 3" xfId="23126" xr:uid="{4ACC45BA-5B38-413B-8B00-0CCB28BAE383}"/>
    <cellStyle name="40% - Accent4 4 5 4" xfId="10468" xr:uid="{177EF0D1-D821-4364-BC50-1E2C42F2E35D}"/>
    <cellStyle name="40% - Accent4 4 5 5" xfId="18909" xr:uid="{23788852-A850-40C0-AE87-FCFD1EE08CB2}"/>
    <cellStyle name="40% - Accent4 4 6" xfId="2343" xr:uid="{00000000-0005-0000-0000-00002B060000}"/>
    <cellStyle name="40% - Accent4 4 6 2" xfId="6649" xr:uid="{00000000-0005-0000-0000-00002C060000}"/>
    <cellStyle name="40% - Accent4 4 6 2 2" xfId="15099" xr:uid="{82FEF849-215C-47FC-B77F-87797B7772CB}"/>
    <cellStyle name="40% - Accent4 4 6 2 3" xfId="23539" xr:uid="{A309470D-AB30-4A4E-AAB9-6BB9855AC19A}"/>
    <cellStyle name="40% - Accent4 4 6 3" xfId="10881" xr:uid="{18287CCA-E5B2-435F-9ACD-5C119F18A3D3}"/>
    <cellStyle name="40% - Accent4 4 6 4" xfId="19322" xr:uid="{E8D74EFB-BAE0-4925-9016-26748ACC73D1}"/>
    <cellStyle name="40% - Accent4 4 7" xfId="4583" xr:uid="{00000000-0005-0000-0000-00002D060000}"/>
    <cellStyle name="40% - Accent4 4 7 2" xfId="13033" xr:uid="{24CA81AD-CA11-4594-A9C3-86CB1BD0B899}"/>
    <cellStyle name="40% - Accent4 4 7 3" xfId="21473" xr:uid="{400E7835-DC3F-45C3-B171-A2606A2F027D}"/>
    <cellStyle name="40% - Accent4 4 8" xfId="8815" xr:uid="{01E1196D-F95F-4305-8475-8CADA87903F1}"/>
    <cellStyle name="40% - Accent4 4 9" xfId="17256" xr:uid="{25E2618A-0DB3-46C1-B572-EE3D3D1DF802}"/>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D0E4DBC9-6FEB-45EC-94A1-A93FF3D2916B}"/>
    <cellStyle name="40% - Accent4 5 2 2 3" xfId="24025" xr:uid="{A8A7F3E1-FBA5-4D5F-A452-C2D6C0BE983E}"/>
    <cellStyle name="40% - Accent4 5 2 3" xfId="11367" xr:uid="{C0F24B3E-9CEA-4BC1-B3D8-652477FC6FFA}"/>
    <cellStyle name="40% - Accent4 5 2 4" xfId="19808" xr:uid="{9C0A09B7-505F-4F5C-AC7E-58DF142889D6}"/>
    <cellStyle name="40% - Accent4 5 3" xfId="4990" xr:uid="{00000000-0005-0000-0000-000031060000}"/>
    <cellStyle name="40% - Accent4 5 3 2" xfId="13440" xr:uid="{C49D0B40-804E-4A56-BCF3-BF5FDC180C2F}"/>
    <cellStyle name="40% - Accent4 5 3 3" xfId="21880" xr:uid="{8D2AFE4D-B6FB-4053-A072-70A1201B3DDC}"/>
    <cellStyle name="40% - Accent4 5 4" xfId="9222" xr:uid="{52C5C95F-26E7-4652-B723-CC24498CD417}"/>
    <cellStyle name="40% - Accent4 5 5" xfId="17663" xr:uid="{B75F0DC3-7FDC-4B32-926A-2B12E8DBF507}"/>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13A93302-B70F-4A20-8D66-C548B78BF1A4}"/>
    <cellStyle name="40% - Accent4 6 2 2 3" xfId="24438" xr:uid="{E6B70CA9-EC2D-4A79-BE42-FE8DC89DFD28}"/>
    <cellStyle name="40% - Accent4 6 2 3" xfId="11780" xr:uid="{CD47D07F-99E7-4872-8891-1087C111C6B1}"/>
    <cellStyle name="40% - Accent4 6 2 4" xfId="20221" xr:uid="{38EE22EC-8224-4BE8-A691-69ADFB884361}"/>
    <cellStyle name="40% - Accent4 6 3" xfId="5403" xr:uid="{00000000-0005-0000-0000-000035060000}"/>
    <cellStyle name="40% - Accent4 6 3 2" xfId="13853" xr:uid="{81A86B95-5421-415B-A0D6-9C93A1DCE585}"/>
    <cellStyle name="40% - Accent4 6 3 3" xfId="22293" xr:uid="{7CE8F4D3-6748-4A4C-9B7F-F8028BFDC413}"/>
    <cellStyle name="40% - Accent4 6 4" xfId="9635" xr:uid="{392F596D-FBD1-4C82-8848-8E168175D616}"/>
    <cellStyle name="40% - Accent4 6 5" xfId="18076" xr:uid="{E9E62CF5-7577-49FE-8497-C95941F51C3D}"/>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33A3D6A1-BE6C-401A-A9E1-86EE8CE4A9D3}"/>
    <cellStyle name="40% - Accent4 7 2 2 3" xfId="24851" xr:uid="{66AA4AAC-D989-49FA-97F1-4320C87EB7DB}"/>
    <cellStyle name="40% - Accent4 7 2 3" xfId="12193" xr:uid="{FC331643-C0C5-4302-9D38-8ECCD1789477}"/>
    <cellStyle name="40% - Accent4 7 2 4" xfId="20634" xr:uid="{F8DDD033-12E5-481B-8CE9-3AA8181D77C9}"/>
    <cellStyle name="40% - Accent4 7 3" xfId="5816" xr:uid="{00000000-0005-0000-0000-000039060000}"/>
    <cellStyle name="40% - Accent4 7 3 2" xfId="14266" xr:uid="{22E306C1-F4B0-41EB-A847-A44795BEAEDB}"/>
    <cellStyle name="40% - Accent4 7 3 3" xfId="22706" xr:uid="{51FD0472-373B-4B43-BBA9-E22EB947326E}"/>
    <cellStyle name="40% - Accent4 7 4" xfId="10048" xr:uid="{C7B2E0AD-1A88-4304-9C3C-B0C48957307D}"/>
    <cellStyle name="40% - Accent4 7 5" xfId="18489" xr:uid="{FBBA6675-32B6-4B01-BF8D-4804C4D28B4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C774FA06-02EE-43FE-82CB-ED59EA9BD84A}"/>
    <cellStyle name="40% - Accent4 8 2 2 3" xfId="25264" xr:uid="{0BEC0998-51C9-4A7B-9FD6-A0CE44D234B5}"/>
    <cellStyle name="40% - Accent4 8 2 3" xfId="12606" xr:uid="{6DD9F400-56AB-453E-8072-D148D88983C8}"/>
    <cellStyle name="40% - Accent4 8 2 4" xfId="21047" xr:uid="{01B2F4AF-40F1-4B60-B7C4-225F7949705C}"/>
    <cellStyle name="40% - Accent4 8 3" xfId="6229" xr:uid="{00000000-0005-0000-0000-00003D060000}"/>
    <cellStyle name="40% - Accent4 8 3 2" xfId="14679" xr:uid="{772EDF21-D201-44B5-898A-5CD1B2D85281}"/>
    <cellStyle name="40% - Accent4 8 3 3" xfId="23119" xr:uid="{E22CE71E-69A1-4E74-91B6-D52306F064B4}"/>
    <cellStyle name="40% - Accent4 8 4" xfId="10461" xr:uid="{15E2E9D9-5C23-459F-BBBF-943A21AA7BD7}"/>
    <cellStyle name="40% - Accent4 8 5" xfId="18902" xr:uid="{11732130-A31D-4F5D-AE06-F756D37B0FF7}"/>
    <cellStyle name="40% - Accent4 9" xfId="2336" xr:uid="{00000000-0005-0000-0000-00003E060000}"/>
    <cellStyle name="40% - Accent4 9 2" xfId="6642" xr:uid="{00000000-0005-0000-0000-00003F060000}"/>
    <cellStyle name="40% - Accent4 9 2 2" xfId="15092" xr:uid="{64F88067-8724-4A9A-9A30-A9257121CE8A}"/>
    <cellStyle name="40% - Accent4 9 2 3" xfId="23532" xr:uid="{B08BC9FE-7CD5-44C7-83A3-B46DF0A03FC9}"/>
    <cellStyle name="40% - Accent4 9 3" xfId="10874" xr:uid="{D4B22782-609E-4755-A1EF-A3C356A33BE5}"/>
    <cellStyle name="40% - Accent4 9 4" xfId="19315" xr:uid="{9DF52F89-E5F5-4015-94AC-7070266AD40B}"/>
    <cellStyle name="40% - Accent5" xfId="81" builtinId="47" customBuiltin="1"/>
    <cellStyle name="40% - Accent5 10" xfId="4584" xr:uid="{00000000-0005-0000-0000-000041060000}"/>
    <cellStyle name="40% - Accent5 10 2" xfId="13034" xr:uid="{9BB53B45-AC8D-4594-A66B-724D4DE2FFBC}"/>
    <cellStyle name="40% - Accent5 10 3" xfId="21474" xr:uid="{84DCD718-35DF-49B2-A598-FB6D92F0F212}"/>
    <cellStyle name="40% - Accent5 11" xfId="8816" xr:uid="{5944F6AF-4D3D-413C-9A40-DC5D0CF6F238}"/>
    <cellStyle name="40% - Accent5 12" xfId="17257" xr:uid="{1E4188F8-B440-41F3-A0E3-5D81C26C3B35}"/>
    <cellStyle name="40% - Accent5 2" xfId="82" xr:uid="{00000000-0005-0000-0000-000042060000}"/>
    <cellStyle name="40% - Accent5 2 10" xfId="8817" xr:uid="{961901D8-9C6B-4BE2-987B-1CF8EE66C043}"/>
    <cellStyle name="40% - Accent5 2 11" xfId="17258" xr:uid="{0E1B8B38-A659-4EB7-B8AC-B4B64058CD91}"/>
    <cellStyle name="40% - Accent5 2 2" xfId="83" xr:uid="{00000000-0005-0000-0000-000043060000}"/>
    <cellStyle name="40% - Accent5 2 2 10" xfId="17259" xr:uid="{DBE693AE-460D-4E77-9F0B-9C021FE18FCD}"/>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425C7FDC-BA84-4CE1-B003-57F42F06C2DE}"/>
    <cellStyle name="40% - Accent5 2 2 2 2 2 2 3" xfId="24036" xr:uid="{2CCCEF92-DF2B-4F9D-81E8-556F6F690E4B}"/>
    <cellStyle name="40% - Accent5 2 2 2 2 2 3" xfId="11378" xr:uid="{69BDE4B1-5B5F-4FDD-B018-52675FA9FD9F}"/>
    <cellStyle name="40% - Accent5 2 2 2 2 2 4" xfId="19819" xr:uid="{24F8AA4B-5835-44C8-A629-46D6BBD96F92}"/>
    <cellStyle name="40% - Accent5 2 2 2 2 3" xfId="5001" xr:uid="{00000000-0005-0000-0000-000048060000}"/>
    <cellStyle name="40% - Accent5 2 2 2 2 3 2" xfId="13451" xr:uid="{818AC3EB-1FFD-481D-9326-4655782BA0B5}"/>
    <cellStyle name="40% - Accent5 2 2 2 2 3 3" xfId="21891" xr:uid="{F83B5410-3C4D-47D3-B8A4-23272462591F}"/>
    <cellStyle name="40% - Accent5 2 2 2 2 4" xfId="9233" xr:uid="{BEF7D0DA-87C9-466A-BF96-82CB095FAD14}"/>
    <cellStyle name="40% - Accent5 2 2 2 2 5" xfId="17674" xr:uid="{6C15AD84-31B4-434F-A2EA-B732BA5F1D8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841DCBD4-AF59-456D-9B83-CB847E354D4D}"/>
    <cellStyle name="40% - Accent5 2 2 2 3 2 2 3" xfId="24449" xr:uid="{B54372F0-651B-4793-B1D3-AC8E8C524688}"/>
    <cellStyle name="40% - Accent5 2 2 2 3 2 3" xfId="11791" xr:uid="{33C4A848-0AA8-4506-A56F-8A55DB84F31B}"/>
    <cellStyle name="40% - Accent5 2 2 2 3 2 4" xfId="20232" xr:uid="{1BFF3675-8D6C-4E6E-852B-70EAFDC1754C}"/>
    <cellStyle name="40% - Accent5 2 2 2 3 3" xfId="5414" xr:uid="{00000000-0005-0000-0000-00004C060000}"/>
    <cellStyle name="40% - Accent5 2 2 2 3 3 2" xfId="13864" xr:uid="{323145DA-2339-4DAC-AEA0-3F179B0575EB}"/>
    <cellStyle name="40% - Accent5 2 2 2 3 3 3" xfId="22304" xr:uid="{BFDCE078-76DF-4E5E-83CC-BD0496D694C7}"/>
    <cellStyle name="40% - Accent5 2 2 2 3 4" xfId="9646" xr:uid="{744E9B92-9C25-4AB6-8D6C-3C06D1437864}"/>
    <cellStyle name="40% - Accent5 2 2 2 3 5" xfId="18087" xr:uid="{0F86AC86-679B-4DD2-B053-6173B172DF2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048C6A29-1724-47E8-BF66-BB71BB26F3DF}"/>
    <cellStyle name="40% - Accent5 2 2 2 4 2 2 3" xfId="24862" xr:uid="{E886466B-DCF9-430A-A200-71A875E33197}"/>
    <cellStyle name="40% - Accent5 2 2 2 4 2 3" xfId="12204" xr:uid="{449A3313-AB42-433C-883E-0868F9396FC8}"/>
    <cellStyle name="40% - Accent5 2 2 2 4 2 4" xfId="20645" xr:uid="{B7A842BD-4B02-45EE-9A64-DD4A9DFEE540}"/>
    <cellStyle name="40% - Accent5 2 2 2 4 3" xfId="5827" xr:uid="{00000000-0005-0000-0000-000050060000}"/>
    <cellStyle name="40% - Accent5 2 2 2 4 3 2" xfId="14277" xr:uid="{283B450F-84E3-4B34-B63F-726F74329AC4}"/>
    <cellStyle name="40% - Accent5 2 2 2 4 3 3" xfId="22717" xr:uid="{FB96177A-9590-4EA8-961B-900384AE8F43}"/>
    <cellStyle name="40% - Accent5 2 2 2 4 4" xfId="10059" xr:uid="{65DC1684-895A-486B-BE09-EFA0FAF66A51}"/>
    <cellStyle name="40% - Accent5 2 2 2 4 5" xfId="18500" xr:uid="{EE592457-DFFD-4483-8CB3-974BADDEDA9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91B1B1A0-B911-4F68-BF0A-27BF910F8131}"/>
    <cellStyle name="40% - Accent5 2 2 2 5 2 2 3" xfId="25275" xr:uid="{97EC4EF8-1B48-47E7-A8EA-845164693176}"/>
    <cellStyle name="40% - Accent5 2 2 2 5 2 3" xfId="12617" xr:uid="{D5494115-499B-475E-8DB8-157568014AF7}"/>
    <cellStyle name="40% - Accent5 2 2 2 5 2 4" xfId="21058" xr:uid="{32DB143D-1185-4D89-AECE-54A5618F62C9}"/>
    <cellStyle name="40% - Accent5 2 2 2 5 3" xfId="6240" xr:uid="{00000000-0005-0000-0000-000054060000}"/>
    <cellStyle name="40% - Accent5 2 2 2 5 3 2" xfId="14690" xr:uid="{5189994D-6FCB-487C-8FD7-F0A3481FD99E}"/>
    <cellStyle name="40% - Accent5 2 2 2 5 3 3" xfId="23130" xr:uid="{E3821722-5372-4487-833A-F842294ECD91}"/>
    <cellStyle name="40% - Accent5 2 2 2 5 4" xfId="10472" xr:uid="{C96CC360-A3BD-4204-8385-3D232232E878}"/>
    <cellStyle name="40% - Accent5 2 2 2 5 5" xfId="18913" xr:uid="{C14BF442-122E-4CAB-BF92-1642AD3F63C3}"/>
    <cellStyle name="40% - Accent5 2 2 2 6" xfId="2347" xr:uid="{00000000-0005-0000-0000-000055060000}"/>
    <cellStyle name="40% - Accent5 2 2 2 6 2" xfId="6653" xr:uid="{00000000-0005-0000-0000-000056060000}"/>
    <cellStyle name="40% - Accent5 2 2 2 6 2 2" xfId="15103" xr:uid="{56B4269B-E940-4341-BF6C-DFD17E39A7A9}"/>
    <cellStyle name="40% - Accent5 2 2 2 6 2 3" xfId="23543" xr:uid="{9F7656D3-99B5-4D5F-A53B-DF5E93BE3269}"/>
    <cellStyle name="40% - Accent5 2 2 2 6 3" xfId="10885" xr:uid="{91CEAC5A-49D3-4FD2-916B-E7AFADF1348F}"/>
    <cellStyle name="40% - Accent5 2 2 2 6 4" xfId="19326" xr:uid="{56929100-7BF8-4A86-9D31-2228DAB25307}"/>
    <cellStyle name="40% - Accent5 2 2 2 7" xfId="4587" xr:uid="{00000000-0005-0000-0000-000057060000}"/>
    <cellStyle name="40% - Accent5 2 2 2 7 2" xfId="13037" xr:uid="{7DAE3C5D-E73F-42CD-A8A0-6C5F059D30CD}"/>
    <cellStyle name="40% - Accent5 2 2 2 7 3" xfId="21477" xr:uid="{C2D48851-D2E1-43FE-A2F1-F449BAF86A17}"/>
    <cellStyle name="40% - Accent5 2 2 2 8" xfId="8819" xr:uid="{3AAD69ED-F6E3-4D8A-BA8B-404E1D3A7A07}"/>
    <cellStyle name="40% - Accent5 2 2 2 9" xfId="17260" xr:uid="{A54ABADD-2F11-40C4-AF4F-7A8BA3AB155F}"/>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45F21374-4323-40C9-BF8E-CD6793A37FA3}"/>
    <cellStyle name="40% - Accent5 2 2 3 2 2 3" xfId="24035" xr:uid="{53525515-BE70-451C-A240-FB14136D44BB}"/>
    <cellStyle name="40% - Accent5 2 2 3 2 3" xfId="11377" xr:uid="{0867FDA0-1819-43CE-8AD5-EF2C1602AE92}"/>
    <cellStyle name="40% - Accent5 2 2 3 2 4" xfId="19818" xr:uid="{6E3CC787-1A3F-4C6D-85A7-87B507EFB2EF}"/>
    <cellStyle name="40% - Accent5 2 2 3 3" xfId="5000" xr:uid="{00000000-0005-0000-0000-00005B060000}"/>
    <cellStyle name="40% - Accent5 2 2 3 3 2" xfId="13450" xr:uid="{443BF4FB-2430-4C14-BD22-178E089FC8F2}"/>
    <cellStyle name="40% - Accent5 2 2 3 3 3" xfId="21890" xr:uid="{E84F9A69-EAC5-4A24-A1A6-95560E6B7FD8}"/>
    <cellStyle name="40% - Accent5 2 2 3 4" xfId="9232" xr:uid="{16672B3E-02D7-424F-8810-1A453A4E61B6}"/>
    <cellStyle name="40% - Accent5 2 2 3 5" xfId="17673" xr:uid="{3E302371-EB00-4BB9-B596-29143071C780}"/>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AEC18616-7DD4-4271-9E7F-7AE4D02C3173}"/>
    <cellStyle name="40% - Accent5 2 2 4 2 2 3" xfId="24448" xr:uid="{D19DABCA-8E76-434B-9FBD-162999E1623F}"/>
    <cellStyle name="40% - Accent5 2 2 4 2 3" xfId="11790" xr:uid="{9169330E-C0D7-405A-B540-923A7C16C31C}"/>
    <cellStyle name="40% - Accent5 2 2 4 2 4" xfId="20231" xr:uid="{4343BF2A-D886-4CAC-BF6A-637BC60C2EAE}"/>
    <cellStyle name="40% - Accent5 2 2 4 3" xfId="5413" xr:uid="{00000000-0005-0000-0000-00005F060000}"/>
    <cellStyle name="40% - Accent5 2 2 4 3 2" xfId="13863" xr:uid="{562D98F6-1F74-4C57-9340-897D47CFF249}"/>
    <cellStyle name="40% - Accent5 2 2 4 3 3" xfId="22303" xr:uid="{0363B127-79E8-436F-BDC4-17579D06B207}"/>
    <cellStyle name="40% - Accent5 2 2 4 4" xfId="9645" xr:uid="{CCC9EC50-956E-47BA-8C6C-A3D6CA0D6174}"/>
    <cellStyle name="40% - Accent5 2 2 4 5" xfId="18086" xr:uid="{00924ABB-82B6-4246-AFC1-7197807CA16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1B88A1C8-BE09-48B7-8A27-4A6E36F62EB7}"/>
    <cellStyle name="40% - Accent5 2 2 5 2 2 3" xfId="24861" xr:uid="{A53E63C8-5763-4C53-BC39-F209702B70FF}"/>
    <cellStyle name="40% - Accent5 2 2 5 2 3" xfId="12203" xr:uid="{386EA263-BD61-419A-98B8-A48C4FB134E9}"/>
    <cellStyle name="40% - Accent5 2 2 5 2 4" xfId="20644" xr:uid="{CA40EC0C-5181-4F36-B611-BE93D324C6A7}"/>
    <cellStyle name="40% - Accent5 2 2 5 3" xfId="5826" xr:uid="{00000000-0005-0000-0000-000063060000}"/>
    <cellStyle name="40% - Accent5 2 2 5 3 2" xfId="14276" xr:uid="{A298A56B-60F7-424C-8DF7-ECC2A82CDA1D}"/>
    <cellStyle name="40% - Accent5 2 2 5 3 3" xfId="22716" xr:uid="{28C936F3-20CF-49D7-A3D7-E2559B8FE278}"/>
    <cellStyle name="40% - Accent5 2 2 5 4" xfId="10058" xr:uid="{5493F534-6EB8-4BB5-AD67-3B272BE082AC}"/>
    <cellStyle name="40% - Accent5 2 2 5 5" xfId="18499" xr:uid="{36DA2830-A924-45B4-8BCB-698889C78835}"/>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32313156-8D75-4FCE-B9AD-018DD5DBFBEE}"/>
    <cellStyle name="40% - Accent5 2 2 6 2 2 3" xfId="25274" xr:uid="{B95186F1-C1F4-487F-9955-5751A942F0BD}"/>
    <cellStyle name="40% - Accent5 2 2 6 2 3" xfId="12616" xr:uid="{E721FACC-4045-4956-A621-71A08C248052}"/>
    <cellStyle name="40% - Accent5 2 2 6 2 4" xfId="21057" xr:uid="{6CFC8F0A-5D04-42F6-AA75-A1C28A74EEE6}"/>
    <cellStyle name="40% - Accent5 2 2 6 3" xfId="6239" xr:uid="{00000000-0005-0000-0000-000067060000}"/>
    <cellStyle name="40% - Accent5 2 2 6 3 2" xfId="14689" xr:uid="{E15A1B8E-8588-4733-9244-5AA97F03D523}"/>
    <cellStyle name="40% - Accent5 2 2 6 3 3" xfId="23129" xr:uid="{8E4C4221-AB99-4403-A829-488DBFD95D0B}"/>
    <cellStyle name="40% - Accent5 2 2 6 4" xfId="10471" xr:uid="{B4A850AC-111B-4DD0-BB2D-C67110CCCB70}"/>
    <cellStyle name="40% - Accent5 2 2 6 5" xfId="18912" xr:uid="{B71FDE51-10B9-4FBF-BAD5-00591E604CB9}"/>
    <cellStyle name="40% - Accent5 2 2 7" xfId="2346" xr:uid="{00000000-0005-0000-0000-000068060000}"/>
    <cellStyle name="40% - Accent5 2 2 7 2" xfId="6652" xr:uid="{00000000-0005-0000-0000-000069060000}"/>
    <cellStyle name="40% - Accent5 2 2 7 2 2" xfId="15102" xr:uid="{E4430F9A-3B34-403E-B6A4-8DC67770A204}"/>
    <cellStyle name="40% - Accent5 2 2 7 2 3" xfId="23542" xr:uid="{CB32959D-47FC-4270-831F-30DF9F741DCA}"/>
    <cellStyle name="40% - Accent5 2 2 7 3" xfId="10884" xr:uid="{3A773429-14D6-4C5A-84B0-B44E830D08A6}"/>
    <cellStyle name="40% - Accent5 2 2 7 4" xfId="19325" xr:uid="{F0BE8BB7-D012-48C0-9F45-51B6ACC171F0}"/>
    <cellStyle name="40% - Accent5 2 2 8" xfId="4586" xr:uid="{00000000-0005-0000-0000-00006A060000}"/>
    <cellStyle name="40% - Accent5 2 2 8 2" xfId="13036" xr:uid="{D55D8F74-221A-4D42-80BE-2EFEDD365B91}"/>
    <cellStyle name="40% - Accent5 2 2 8 3" xfId="21476" xr:uid="{A017402C-D56A-4C38-BEF6-721C5D4C654F}"/>
    <cellStyle name="40% - Accent5 2 2 9" xfId="8818" xr:uid="{9EBA80DE-96BE-44CB-8963-9D1DA1DE2EB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0C7883EE-7345-4544-B1EA-6E3D0214C336}"/>
    <cellStyle name="40% - Accent5 2 3 2 2 2 3" xfId="24037" xr:uid="{726FA9BF-C099-4377-B523-3F6A93E5EDD4}"/>
    <cellStyle name="40% - Accent5 2 3 2 2 3" xfId="11379" xr:uid="{18B9D335-331C-473D-8431-19A13143D7C7}"/>
    <cellStyle name="40% - Accent5 2 3 2 2 4" xfId="19820" xr:uid="{01A7D023-2C53-4927-8C7E-18F077D58C07}"/>
    <cellStyle name="40% - Accent5 2 3 2 3" xfId="5002" xr:uid="{00000000-0005-0000-0000-00006F060000}"/>
    <cellStyle name="40% - Accent5 2 3 2 3 2" xfId="13452" xr:uid="{37871C5D-E2CC-4DD8-BDEC-756F618D9A79}"/>
    <cellStyle name="40% - Accent5 2 3 2 3 3" xfId="21892" xr:uid="{1C5D4B31-D21E-4D09-BBA8-2BEB7F607647}"/>
    <cellStyle name="40% - Accent5 2 3 2 4" xfId="9234" xr:uid="{681C0A2B-39A1-4474-BE3C-AFE8BA90EEDF}"/>
    <cellStyle name="40% - Accent5 2 3 2 5" xfId="17675" xr:uid="{28F757A8-A004-4FE7-BD7A-AE34FE16301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BD5A5724-E3AA-4412-830A-03661592AEEA}"/>
    <cellStyle name="40% - Accent5 2 3 3 2 2 3" xfId="24450" xr:uid="{19BA8E5F-0ED1-484B-83AB-58260A0CA976}"/>
    <cellStyle name="40% - Accent5 2 3 3 2 3" xfId="11792" xr:uid="{100F7C1A-3D48-41FE-B10A-15192C90A216}"/>
    <cellStyle name="40% - Accent5 2 3 3 2 4" xfId="20233" xr:uid="{88EF34DD-2426-4925-A850-75DF5F0ED6D0}"/>
    <cellStyle name="40% - Accent5 2 3 3 3" xfId="5415" xr:uid="{00000000-0005-0000-0000-000073060000}"/>
    <cellStyle name="40% - Accent5 2 3 3 3 2" xfId="13865" xr:uid="{514E144E-A1C0-4057-8F4A-BA547AD69C9C}"/>
    <cellStyle name="40% - Accent5 2 3 3 3 3" xfId="22305" xr:uid="{880C5376-12FD-4059-BE1D-AAA56FD0C926}"/>
    <cellStyle name="40% - Accent5 2 3 3 4" xfId="9647" xr:uid="{37E2F78D-DFCE-4DDA-A071-03A2D4DF8543}"/>
    <cellStyle name="40% - Accent5 2 3 3 5" xfId="18088" xr:uid="{953D9846-22EF-411C-9875-9B950C180996}"/>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E4FCCF48-CC03-419B-902D-27897F379942}"/>
    <cellStyle name="40% - Accent5 2 3 4 2 2 3" xfId="24863" xr:uid="{1910A89D-8E1F-47F9-8E29-1E99C741F397}"/>
    <cellStyle name="40% - Accent5 2 3 4 2 3" xfId="12205" xr:uid="{41AB0C55-742B-4F11-BE7D-776A52D3523D}"/>
    <cellStyle name="40% - Accent5 2 3 4 2 4" xfId="20646" xr:uid="{7727256F-257D-4FCB-BA67-6F472A1AAB1A}"/>
    <cellStyle name="40% - Accent5 2 3 4 3" xfId="5828" xr:uid="{00000000-0005-0000-0000-000077060000}"/>
    <cellStyle name="40% - Accent5 2 3 4 3 2" xfId="14278" xr:uid="{D8A294DA-FA19-411A-B5E1-2B5B2BF5913E}"/>
    <cellStyle name="40% - Accent5 2 3 4 3 3" xfId="22718" xr:uid="{1BA428D0-DBE9-40DC-A3F8-BC229BDE8BDD}"/>
    <cellStyle name="40% - Accent5 2 3 4 4" xfId="10060" xr:uid="{BBBBB1CB-E57B-43DE-B023-F2940986E99C}"/>
    <cellStyle name="40% - Accent5 2 3 4 5" xfId="18501" xr:uid="{3BAEAC06-D36C-493C-80B8-43944F141C2A}"/>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99FD1473-647B-4D03-8649-51CDA7AD3C5F}"/>
    <cellStyle name="40% - Accent5 2 3 5 2 2 3" xfId="25276" xr:uid="{EE229DE4-0476-43F9-B086-814BD55CF534}"/>
    <cellStyle name="40% - Accent5 2 3 5 2 3" xfId="12618" xr:uid="{4D2756EE-60C8-491C-9C63-0015CA91A4BC}"/>
    <cellStyle name="40% - Accent5 2 3 5 2 4" xfId="21059" xr:uid="{F760353A-400A-4787-AB72-77A745DAB3F3}"/>
    <cellStyle name="40% - Accent5 2 3 5 3" xfId="6241" xr:uid="{00000000-0005-0000-0000-00007B060000}"/>
    <cellStyle name="40% - Accent5 2 3 5 3 2" xfId="14691" xr:uid="{DF187437-5A1E-4F7B-A182-995B37E3DCFF}"/>
    <cellStyle name="40% - Accent5 2 3 5 3 3" xfId="23131" xr:uid="{8116C4AD-1D5B-451B-86AD-CFBBC1CFFC9F}"/>
    <cellStyle name="40% - Accent5 2 3 5 4" xfId="10473" xr:uid="{F6520F28-15CE-4A40-857D-BF65B23CA9F1}"/>
    <cellStyle name="40% - Accent5 2 3 5 5" xfId="18914" xr:uid="{405139A0-D548-4DE1-B963-75DCA351EAAC}"/>
    <cellStyle name="40% - Accent5 2 3 6" xfId="2348" xr:uid="{00000000-0005-0000-0000-00007C060000}"/>
    <cellStyle name="40% - Accent5 2 3 6 2" xfId="6654" xr:uid="{00000000-0005-0000-0000-00007D060000}"/>
    <cellStyle name="40% - Accent5 2 3 6 2 2" xfId="15104" xr:uid="{D7A115BF-4604-4A95-8A3A-EA3ACF8AAE5E}"/>
    <cellStyle name="40% - Accent5 2 3 6 2 3" xfId="23544" xr:uid="{D1E03437-9302-4C71-A1FF-76508E22FE03}"/>
    <cellStyle name="40% - Accent5 2 3 6 3" xfId="10886" xr:uid="{7CE112FD-ECB3-482D-9470-463000AA05DC}"/>
    <cellStyle name="40% - Accent5 2 3 6 4" xfId="19327" xr:uid="{37C08583-9560-45AC-8F42-B9243D38C273}"/>
    <cellStyle name="40% - Accent5 2 3 7" xfId="4588" xr:uid="{00000000-0005-0000-0000-00007E060000}"/>
    <cellStyle name="40% - Accent5 2 3 7 2" xfId="13038" xr:uid="{6E74BD15-2FFC-4067-8CA9-777622FCB426}"/>
    <cellStyle name="40% - Accent5 2 3 7 3" xfId="21478" xr:uid="{6ECC75CE-8453-4CB8-8E45-97B753F8D71A}"/>
    <cellStyle name="40% - Accent5 2 3 8" xfId="8820" xr:uid="{7358E648-A812-4B67-8935-AFEE5E5BD990}"/>
    <cellStyle name="40% - Accent5 2 3 9" xfId="17261" xr:uid="{013261B3-BDA9-4D99-A396-02D6AB271AFA}"/>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8B0872EE-D426-445B-875F-D3AFF6F93F15}"/>
    <cellStyle name="40% - Accent5 2 4 2 2 3" xfId="24034" xr:uid="{29959B1C-DB63-4EBE-A72A-AA6428C759B7}"/>
    <cellStyle name="40% - Accent5 2 4 2 3" xfId="11376" xr:uid="{21A7F7D7-B7AE-43EC-858D-78AC93C32FBD}"/>
    <cellStyle name="40% - Accent5 2 4 2 4" xfId="19817" xr:uid="{278C62F9-CE23-4A15-AE29-3A9D687EE435}"/>
    <cellStyle name="40% - Accent5 2 4 3" xfId="4999" xr:uid="{00000000-0005-0000-0000-000082060000}"/>
    <cellStyle name="40% - Accent5 2 4 3 2" xfId="13449" xr:uid="{B70CF347-016C-46C1-AE30-91C6799EBDC6}"/>
    <cellStyle name="40% - Accent5 2 4 3 3" xfId="21889" xr:uid="{5BF11455-CC6B-4233-A085-8D1A8696F8BA}"/>
    <cellStyle name="40% - Accent5 2 4 4" xfId="9231" xr:uid="{44023C43-70BC-40C7-A14A-E355D888DA8D}"/>
    <cellStyle name="40% - Accent5 2 4 5" xfId="17672" xr:uid="{DCC6FEB5-DBF4-4BFC-A3BD-1DB78E1752B2}"/>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1E6C3BEC-6AE0-45C8-BD25-73DD14AC7580}"/>
    <cellStyle name="40% - Accent5 2 5 2 2 3" xfId="24447" xr:uid="{2C343C83-7E38-4AE5-A49C-F7956D606404}"/>
    <cellStyle name="40% - Accent5 2 5 2 3" xfId="11789" xr:uid="{9D408CCF-3120-4BDA-85CB-F09F9073DD43}"/>
    <cellStyle name="40% - Accent5 2 5 2 4" xfId="20230" xr:uid="{1A135E67-3C49-4818-B571-AECE712E1BE7}"/>
    <cellStyle name="40% - Accent5 2 5 3" xfId="5412" xr:uid="{00000000-0005-0000-0000-000086060000}"/>
    <cellStyle name="40% - Accent5 2 5 3 2" xfId="13862" xr:uid="{3B13A07D-FDFA-4718-9290-0C9BF7B24EFC}"/>
    <cellStyle name="40% - Accent5 2 5 3 3" xfId="22302" xr:uid="{4104B85E-7353-40C8-9686-47216AD31AFB}"/>
    <cellStyle name="40% - Accent5 2 5 4" xfId="9644" xr:uid="{F2971B76-B9E2-4E4E-B515-A8292C4050C9}"/>
    <cellStyle name="40% - Accent5 2 5 5" xfId="18085" xr:uid="{90AC11C2-E51E-418D-9CDA-007BDE1B6CC1}"/>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2B2F420D-CFF4-4623-9545-7A64636A9F17}"/>
    <cellStyle name="40% - Accent5 2 6 2 2 3" xfId="24860" xr:uid="{2CEF792D-87F2-4F64-81D8-C8B88B949749}"/>
    <cellStyle name="40% - Accent5 2 6 2 3" xfId="12202" xr:uid="{3A7BA064-61E0-4E8F-93BE-C61E1374EFA8}"/>
    <cellStyle name="40% - Accent5 2 6 2 4" xfId="20643" xr:uid="{8AA22C6A-74AF-49EB-B96C-6456FC7BE12A}"/>
    <cellStyle name="40% - Accent5 2 6 3" xfId="5825" xr:uid="{00000000-0005-0000-0000-00008A060000}"/>
    <cellStyle name="40% - Accent5 2 6 3 2" xfId="14275" xr:uid="{F03D7915-281E-4FBC-9C4A-9A9C2B13EC52}"/>
    <cellStyle name="40% - Accent5 2 6 3 3" xfId="22715" xr:uid="{E78BB1E9-5857-4F55-8019-860E4334852C}"/>
    <cellStyle name="40% - Accent5 2 6 4" xfId="10057" xr:uid="{20306E4C-7299-4DDF-8A32-827D8E9D922A}"/>
    <cellStyle name="40% - Accent5 2 6 5" xfId="18498" xr:uid="{7B6E62FE-A4B5-4BC2-AD87-0704585B6ED3}"/>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F714C272-0057-472F-9A68-F7E58CD3BAF8}"/>
    <cellStyle name="40% - Accent5 2 7 2 2 3" xfId="25273" xr:uid="{39E2E16C-3E9E-4DD8-A786-EC81E2433EE7}"/>
    <cellStyle name="40% - Accent5 2 7 2 3" xfId="12615" xr:uid="{C4A7E184-173E-40B1-A820-F08525EF3090}"/>
    <cellStyle name="40% - Accent5 2 7 2 4" xfId="21056" xr:uid="{DC975CB8-CCBB-4619-941E-988215ECF1B4}"/>
    <cellStyle name="40% - Accent5 2 7 3" xfId="6238" xr:uid="{00000000-0005-0000-0000-00008E060000}"/>
    <cellStyle name="40% - Accent5 2 7 3 2" xfId="14688" xr:uid="{D7B7E0F1-9FCE-471B-98E7-B020ABC3AE45}"/>
    <cellStyle name="40% - Accent5 2 7 3 3" xfId="23128" xr:uid="{9338A41E-0342-4C22-8294-10A645EB7668}"/>
    <cellStyle name="40% - Accent5 2 7 4" xfId="10470" xr:uid="{F548401D-2072-46A2-AB89-4FBE0671E2F3}"/>
    <cellStyle name="40% - Accent5 2 7 5" xfId="18911" xr:uid="{A9B8EC63-A3D9-4799-B107-C15981395B87}"/>
    <cellStyle name="40% - Accent5 2 8" xfId="2345" xr:uid="{00000000-0005-0000-0000-00008F060000}"/>
    <cellStyle name="40% - Accent5 2 8 2" xfId="6651" xr:uid="{00000000-0005-0000-0000-000090060000}"/>
    <cellStyle name="40% - Accent5 2 8 2 2" xfId="15101" xr:uid="{BDE291D3-A40F-44B7-ADB5-8A95E58D0F16}"/>
    <cellStyle name="40% - Accent5 2 8 2 3" xfId="23541" xr:uid="{6D52D300-79FA-446F-8221-D4480BE42E14}"/>
    <cellStyle name="40% - Accent5 2 8 3" xfId="10883" xr:uid="{ECCE7B6B-37A5-4324-8E87-B06A70C53518}"/>
    <cellStyle name="40% - Accent5 2 8 4" xfId="19324" xr:uid="{36E7FD06-141D-446F-8A95-BD5ECAB6231C}"/>
    <cellStyle name="40% - Accent5 2 9" xfId="4585" xr:uid="{00000000-0005-0000-0000-000091060000}"/>
    <cellStyle name="40% - Accent5 2 9 2" xfId="13035" xr:uid="{9BDA2235-D6F6-4F84-A607-1A58F56C9807}"/>
    <cellStyle name="40% - Accent5 2 9 3" xfId="21475" xr:uid="{17E249D7-3699-400D-82B5-A1464A7EB748}"/>
    <cellStyle name="40% - Accent5 3" xfId="86" xr:uid="{00000000-0005-0000-0000-000092060000}"/>
    <cellStyle name="40% - Accent5 3 10" xfId="17262" xr:uid="{BAC8AD1A-44DD-4CA9-8B51-5A19B365428D}"/>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BD668B3F-9C27-48CD-A35B-D4E813EF6414}"/>
    <cellStyle name="40% - Accent5 3 2 2 2 2 3" xfId="24039" xr:uid="{D6D79AB1-D0BD-40D8-93F9-1579FD104E57}"/>
    <cellStyle name="40% - Accent5 3 2 2 2 3" xfId="11381" xr:uid="{3E429EEB-311E-4909-BFBF-0CD2BDACF0DE}"/>
    <cellStyle name="40% - Accent5 3 2 2 2 4" xfId="19822" xr:uid="{FFAAFFFD-8997-4268-8B0E-BFC30D1E5724}"/>
    <cellStyle name="40% - Accent5 3 2 2 3" xfId="5004" xr:uid="{00000000-0005-0000-0000-000097060000}"/>
    <cellStyle name="40% - Accent5 3 2 2 3 2" xfId="13454" xr:uid="{E704A9E9-CA8D-400D-A297-FEAB9C0A74A7}"/>
    <cellStyle name="40% - Accent5 3 2 2 3 3" xfId="21894" xr:uid="{2955A666-932C-4CD6-92F3-88C56424AD46}"/>
    <cellStyle name="40% - Accent5 3 2 2 4" xfId="9236" xr:uid="{63F67911-8F21-4684-91FB-F86D7598D435}"/>
    <cellStyle name="40% - Accent5 3 2 2 5" xfId="17677" xr:uid="{C637F485-EC34-436B-9C46-D1EC7768CCF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AF53B23E-56A2-444A-9E05-9B0584A38DA3}"/>
    <cellStyle name="40% - Accent5 3 2 3 2 2 3" xfId="24452" xr:uid="{A6EFC95C-5C48-4BB5-B02D-E1AD920456A2}"/>
    <cellStyle name="40% - Accent5 3 2 3 2 3" xfId="11794" xr:uid="{0E378DEA-3FEF-4E76-886A-D532D5D9C34E}"/>
    <cellStyle name="40% - Accent5 3 2 3 2 4" xfId="20235" xr:uid="{B8E54D0F-D3F2-4537-B06E-2C20BFAF1FF0}"/>
    <cellStyle name="40% - Accent5 3 2 3 3" xfId="5417" xr:uid="{00000000-0005-0000-0000-00009B060000}"/>
    <cellStyle name="40% - Accent5 3 2 3 3 2" xfId="13867" xr:uid="{01914CC5-A577-4B0C-8A40-531F313F7074}"/>
    <cellStyle name="40% - Accent5 3 2 3 3 3" xfId="22307" xr:uid="{B4C98DB3-D8B3-4D4B-844F-BDDDD9E68406}"/>
    <cellStyle name="40% - Accent5 3 2 3 4" xfId="9649" xr:uid="{42D3A0B3-E518-40D1-9B89-F6E1C2CE5E0A}"/>
    <cellStyle name="40% - Accent5 3 2 3 5" xfId="18090" xr:uid="{35EAA0B2-CD48-49A7-8B26-D1873C989E7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3BF6E219-ECF4-4FC6-8AE1-E32C1EC137A7}"/>
    <cellStyle name="40% - Accent5 3 2 4 2 2 3" xfId="24865" xr:uid="{C3D92B6A-5CE8-4AC6-8241-E6B1E83B1418}"/>
    <cellStyle name="40% - Accent5 3 2 4 2 3" xfId="12207" xr:uid="{F38EA211-15FE-4529-B2C9-14C1BD462A56}"/>
    <cellStyle name="40% - Accent5 3 2 4 2 4" xfId="20648" xr:uid="{FA689763-D791-452D-A1A8-EDFBBA7B040A}"/>
    <cellStyle name="40% - Accent5 3 2 4 3" xfId="5830" xr:uid="{00000000-0005-0000-0000-00009F060000}"/>
    <cellStyle name="40% - Accent5 3 2 4 3 2" xfId="14280" xr:uid="{12AE6854-105B-403D-915F-EB358E18A113}"/>
    <cellStyle name="40% - Accent5 3 2 4 3 3" xfId="22720" xr:uid="{E5CA30AC-98BF-483B-918B-88AD27885942}"/>
    <cellStyle name="40% - Accent5 3 2 4 4" xfId="10062" xr:uid="{2BC06C91-1D59-4D62-B679-2B8B046007E0}"/>
    <cellStyle name="40% - Accent5 3 2 4 5" xfId="18503" xr:uid="{78D90CD9-3F57-4BEF-A76C-25E480092E0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ADCAECCD-4B09-4B30-9CBC-183CA2A8B3F6}"/>
    <cellStyle name="40% - Accent5 3 2 5 2 2 3" xfId="25278" xr:uid="{95D1B59F-F958-46C4-A23A-6ECE4744D8F0}"/>
    <cellStyle name="40% - Accent5 3 2 5 2 3" xfId="12620" xr:uid="{F0A86914-B9DE-479C-B321-733729448FBC}"/>
    <cellStyle name="40% - Accent5 3 2 5 2 4" xfId="21061" xr:uid="{8F3E11FD-8EAD-4C53-8CFB-61A21B96B42B}"/>
    <cellStyle name="40% - Accent5 3 2 5 3" xfId="6243" xr:uid="{00000000-0005-0000-0000-0000A3060000}"/>
    <cellStyle name="40% - Accent5 3 2 5 3 2" xfId="14693" xr:uid="{A9BB6E12-A6A6-47E3-BA0F-4C34C3AC1944}"/>
    <cellStyle name="40% - Accent5 3 2 5 3 3" xfId="23133" xr:uid="{315C410E-30B8-491D-9D56-1A1DAFF58251}"/>
    <cellStyle name="40% - Accent5 3 2 5 4" xfId="10475" xr:uid="{A708E578-8F25-4A79-BAB0-0168073EECFE}"/>
    <cellStyle name="40% - Accent5 3 2 5 5" xfId="18916" xr:uid="{ED463AD2-3E17-486E-A0BF-B5031E9C6095}"/>
    <cellStyle name="40% - Accent5 3 2 6" xfId="2350" xr:uid="{00000000-0005-0000-0000-0000A4060000}"/>
    <cellStyle name="40% - Accent5 3 2 6 2" xfId="6656" xr:uid="{00000000-0005-0000-0000-0000A5060000}"/>
    <cellStyle name="40% - Accent5 3 2 6 2 2" xfId="15106" xr:uid="{71099C84-B4CD-4CAE-BCF9-0010C95D53C3}"/>
    <cellStyle name="40% - Accent5 3 2 6 2 3" xfId="23546" xr:uid="{B6146B33-6D2D-4424-A8C9-37EAB2B3BB7E}"/>
    <cellStyle name="40% - Accent5 3 2 6 3" xfId="10888" xr:uid="{ED717BFD-2B31-474A-98AA-BB4901D3C6E6}"/>
    <cellStyle name="40% - Accent5 3 2 6 4" xfId="19329" xr:uid="{19B1EA80-F281-4F70-B05D-5CDB949B8C87}"/>
    <cellStyle name="40% - Accent5 3 2 7" xfId="4590" xr:uid="{00000000-0005-0000-0000-0000A6060000}"/>
    <cellStyle name="40% - Accent5 3 2 7 2" xfId="13040" xr:uid="{FFFCBAEE-E1F1-4AF6-A45B-CDE0EA1D87A8}"/>
    <cellStyle name="40% - Accent5 3 2 7 3" xfId="21480" xr:uid="{1542C36B-2BC3-43C0-BF76-9784B5556C7E}"/>
    <cellStyle name="40% - Accent5 3 2 8" xfId="8822" xr:uid="{EE75017A-32F7-48D9-863B-BF38C5494A76}"/>
    <cellStyle name="40% - Accent5 3 2 9" xfId="17263" xr:uid="{5440AEBE-6CC7-4359-9CE7-F383921DCEF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FFC6ADF3-B34C-4306-AC3F-477B784693B1}"/>
    <cellStyle name="40% - Accent5 3 3 2 2 3" xfId="24038" xr:uid="{4BAA0E01-7875-4F44-9D09-E49805ACFF28}"/>
    <cellStyle name="40% - Accent5 3 3 2 3" xfId="11380" xr:uid="{9564CABD-9B18-4775-8737-C449E7259C66}"/>
    <cellStyle name="40% - Accent5 3 3 2 4" xfId="19821" xr:uid="{D46AEABD-F75D-4AF7-83A6-4147BC85AC14}"/>
    <cellStyle name="40% - Accent5 3 3 3" xfId="5003" xr:uid="{00000000-0005-0000-0000-0000AA060000}"/>
    <cellStyle name="40% - Accent5 3 3 3 2" xfId="13453" xr:uid="{3075B149-3D79-4AFC-A6E6-FA2E39F47439}"/>
    <cellStyle name="40% - Accent5 3 3 3 3" xfId="21893" xr:uid="{10CA6A9B-9B26-4A97-A2C2-E2634F4D0186}"/>
    <cellStyle name="40% - Accent5 3 3 4" xfId="9235" xr:uid="{60FE7958-5A76-49A4-98EC-DDECB7A13398}"/>
    <cellStyle name="40% - Accent5 3 3 5" xfId="17676" xr:uid="{C09F8083-EBC0-43B3-8A90-1856348BD01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B79C608B-32C3-4251-AC1E-17570C11B702}"/>
    <cellStyle name="40% - Accent5 3 4 2 2 3" xfId="24451" xr:uid="{93D668CC-F4A2-4675-895C-13ACCA1FC54F}"/>
    <cellStyle name="40% - Accent5 3 4 2 3" xfId="11793" xr:uid="{6DB7B0CD-2168-4B9E-9E7B-E280B8DF5531}"/>
    <cellStyle name="40% - Accent5 3 4 2 4" xfId="20234" xr:uid="{A63CC4E1-32E5-4C4C-91D3-81313E7D834E}"/>
    <cellStyle name="40% - Accent5 3 4 3" xfId="5416" xr:uid="{00000000-0005-0000-0000-0000AE060000}"/>
    <cellStyle name="40% - Accent5 3 4 3 2" xfId="13866" xr:uid="{6C8BD42B-B885-45CF-9F77-E99E392F8D5E}"/>
    <cellStyle name="40% - Accent5 3 4 3 3" xfId="22306" xr:uid="{3B6A658F-AB5D-41B8-B8BD-6F0097BA3408}"/>
    <cellStyle name="40% - Accent5 3 4 4" xfId="9648" xr:uid="{C916BA65-12FF-449D-8774-C38D8019DCFF}"/>
    <cellStyle name="40% - Accent5 3 4 5" xfId="18089" xr:uid="{0CBDC094-F7FD-4A15-888E-939A780640B8}"/>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CC5684BD-E3D7-428E-839F-B92CEDA3F1DD}"/>
    <cellStyle name="40% - Accent5 3 5 2 2 3" xfId="24864" xr:uid="{C48B6E95-0321-42FA-9739-368DEA373D98}"/>
    <cellStyle name="40% - Accent5 3 5 2 3" xfId="12206" xr:uid="{EC23C30F-9706-4110-BB2A-8EC4E19A44B0}"/>
    <cellStyle name="40% - Accent5 3 5 2 4" xfId="20647" xr:uid="{94050D82-268C-4072-BBAC-D6D66209FBC9}"/>
    <cellStyle name="40% - Accent5 3 5 3" xfId="5829" xr:uid="{00000000-0005-0000-0000-0000B2060000}"/>
    <cellStyle name="40% - Accent5 3 5 3 2" xfId="14279" xr:uid="{93FF5F8B-351A-4465-95F8-03E61F73B573}"/>
    <cellStyle name="40% - Accent5 3 5 3 3" xfId="22719" xr:uid="{3C533949-AC7D-4B79-A2B4-8B1958065F32}"/>
    <cellStyle name="40% - Accent5 3 5 4" xfId="10061" xr:uid="{2C4B809F-8A6A-465A-82F6-B46430D6CDED}"/>
    <cellStyle name="40% - Accent5 3 5 5" xfId="18502" xr:uid="{2D6ED175-23DE-4815-883C-41A164E7229C}"/>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872D1650-3525-4C38-888D-6E81CA20C094}"/>
    <cellStyle name="40% - Accent5 3 6 2 2 3" xfId="25277" xr:uid="{5021455C-E390-4FB5-B6E7-FEA60C7A4CA8}"/>
    <cellStyle name="40% - Accent5 3 6 2 3" xfId="12619" xr:uid="{B62BB6BC-1E4B-4002-83AE-12CBC4823CD0}"/>
    <cellStyle name="40% - Accent5 3 6 2 4" xfId="21060" xr:uid="{B95B4112-41EF-4F35-B0DC-387779ECD6C4}"/>
    <cellStyle name="40% - Accent5 3 6 3" xfId="6242" xr:uid="{00000000-0005-0000-0000-0000B6060000}"/>
    <cellStyle name="40% - Accent5 3 6 3 2" xfId="14692" xr:uid="{5F6A1606-AF67-4046-9F99-75F72CFBF30D}"/>
    <cellStyle name="40% - Accent5 3 6 3 3" xfId="23132" xr:uid="{1F25189F-A1B6-4C19-B7DE-B2E29AD223B5}"/>
    <cellStyle name="40% - Accent5 3 6 4" xfId="10474" xr:uid="{C48B1501-9590-4B68-BDE2-58A9F5584DA6}"/>
    <cellStyle name="40% - Accent5 3 6 5" xfId="18915" xr:uid="{5BABE79C-7ECC-46E8-AEE1-AD4A8FCE8EB9}"/>
    <cellStyle name="40% - Accent5 3 7" xfId="2349" xr:uid="{00000000-0005-0000-0000-0000B7060000}"/>
    <cellStyle name="40% - Accent5 3 7 2" xfId="6655" xr:uid="{00000000-0005-0000-0000-0000B8060000}"/>
    <cellStyle name="40% - Accent5 3 7 2 2" xfId="15105" xr:uid="{623A63FB-7DF4-480D-A034-E3E471A789A3}"/>
    <cellStyle name="40% - Accent5 3 7 2 3" xfId="23545" xr:uid="{13F04D8C-270B-46BF-BCA3-E7EFB2081728}"/>
    <cellStyle name="40% - Accent5 3 7 3" xfId="10887" xr:uid="{4F487AF5-20F8-4323-ABFF-55A5A11E7C97}"/>
    <cellStyle name="40% - Accent5 3 7 4" xfId="19328" xr:uid="{8626D9B5-D99F-495F-B78C-3E37E00B5185}"/>
    <cellStyle name="40% - Accent5 3 8" xfId="4589" xr:uid="{00000000-0005-0000-0000-0000B9060000}"/>
    <cellStyle name="40% - Accent5 3 8 2" xfId="13039" xr:uid="{61F0967E-7031-454E-B548-4CD99E432458}"/>
    <cellStyle name="40% - Accent5 3 8 3" xfId="21479" xr:uid="{E598D110-E8BB-46C7-BE34-1440798F361E}"/>
    <cellStyle name="40% - Accent5 3 9" xfId="8821" xr:uid="{C1100AEA-026D-4CA6-BD78-848B41B4C767}"/>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C7B2D4EA-8BC2-4CC9-BF8E-B26CFDC0F815}"/>
    <cellStyle name="40% - Accent5 4 2 2 2 3" xfId="24040" xr:uid="{C5AF4E38-4300-4C37-B85D-97CBC62B0298}"/>
    <cellStyle name="40% - Accent5 4 2 2 3" xfId="11382" xr:uid="{91AEE4D3-5835-4589-9CA9-022FC4EDF2CF}"/>
    <cellStyle name="40% - Accent5 4 2 2 4" xfId="19823" xr:uid="{846E4849-6D89-45F3-B349-FB6B60E49382}"/>
    <cellStyle name="40% - Accent5 4 2 3" xfId="5005" xr:uid="{00000000-0005-0000-0000-0000BE060000}"/>
    <cellStyle name="40% - Accent5 4 2 3 2" xfId="13455" xr:uid="{9A27BD45-EF4D-4301-9E3E-8BD61338F7D4}"/>
    <cellStyle name="40% - Accent5 4 2 3 3" xfId="21895" xr:uid="{264A5CB4-7BBF-4499-8189-8D00D881B3AF}"/>
    <cellStyle name="40% - Accent5 4 2 4" xfId="9237" xr:uid="{9B82AAAA-88EA-4541-8BA4-8DF1F58BF7E4}"/>
    <cellStyle name="40% - Accent5 4 2 5" xfId="17678" xr:uid="{CCA8628A-E194-481E-93F2-5D503E2C7C6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6A9D71BE-EFED-441E-83D4-413009951AE3}"/>
    <cellStyle name="40% - Accent5 4 3 2 2 3" xfId="24453" xr:uid="{88B57FE5-4CDE-40BE-ADD1-EE3D5D5D51C2}"/>
    <cellStyle name="40% - Accent5 4 3 2 3" xfId="11795" xr:uid="{9F5DF459-DB2A-47F1-86ED-6F28727D8778}"/>
    <cellStyle name="40% - Accent5 4 3 2 4" xfId="20236" xr:uid="{B40EFC7F-39C2-4F23-94D8-0FA4EBD5D29B}"/>
    <cellStyle name="40% - Accent5 4 3 3" xfId="5418" xr:uid="{00000000-0005-0000-0000-0000C2060000}"/>
    <cellStyle name="40% - Accent5 4 3 3 2" xfId="13868" xr:uid="{0F8B9A7E-8CC2-4643-8914-FE6AD4AD4CA9}"/>
    <cellStyle name="40% - Accent5 4 3 3 3" xfId="22308" xr:uid="{3F354171-100B-43B4-A494-A9D83B957E5A}"/>
    <cellStyle name="40% - Accent5 4 3 4" xfId="9650" xr:uid="{D31D1492-C818-456B-A85C-FAD6AB90E45D}"/>
    <cellStyle name="40% - Accent5 4 3 5" xfId="18091" xr:uid="{C027DC2A-9715-4B81-9BBC-F7669CFA37BA}"/>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CF9CCA77-C553-425C-ACCD-2656248E268C}"/>
    <cellStyle name="40% - Accent5 4 4 2 2 3" xfId="24866" xr:uid="{3F3EA766-D3F2-4F34-8160-CA62776E90BF}"/>
    <cellStyle name="40% - Accent5 4 4 2 3" xfId="12208" xr:uid="{E96EFACC-476E-4DD6-B58A-867307481D3E}"/>
    <cellStyle name="40% - Accent5 4 4 2 4" xfId="20649" xr:uid="{BC159F9B-8CC2-4376-AAEC-21FA2EBD6E61}"/>
    <cellStyle name="40% - Accent5 4 4 3" xfId="5831" xr:uid="{00000000-0005-0000-0000-0000C6060000}"/>
    <cellStyle name="40% - Accent5 4 4 3 2" xfId="14281" xr:uid="{30A054A9-170D-4EFD-BA8F-37055098B52F}"/>
    <cellStyle name="40% - Accent5 4 4 3 3" xfId="22721" xr:uid="{A62EDE9B-D8DF-49D0-B55E-00939F4451CA}"/>
    <cellStyle name="40% - Accent5 4 4 4" xfId="10063" xr:uid="{DAB6D67A-EEE8-49B9-ADA5-04F6759D197C}"/>
    <cellStyle name="40% - Accent5 4 4 5" xfId="18504" xr:uid="{154E1D33-D07B-4E08-888B-5DACEAD1FAC0}"/>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BA079DED-B8F9-4063-ABA9-1A47C98F2000}"/>
    <cellStyle name="40% - Accent5 4 5 2 2 3" xfId="25279" xr:uid="{D5F4FBB2-4161-4A46-BDAD-E390AB076563}"/>
    <cellStyle name="40% - Accent5 4 5 2 3" xfId="12621" xr:uid="{86DFCCA5-1E3E-4467-A724-8C2ADDC645CE}"/>
    <cellStyle name="40% - Accent5 4 5 2 4" xfId="21062" xr:uid="{74232D21-F856-476D-BE35-BF073F0140BE}"/>
    <cellStyle name="40% - Accent5 4 5 3" xfId="6244" xr:uid="{00000000-0005-0000-0000-0000CA060000}"/>
    <cellStyle name="40% - Accent5 4 5 3 2" xfId="14694" xr:uid="{A4262ED0-F37B-4F7E-B6FE-496CA890491C}"/>
    <cellStyle name="40% - Accent5 4 5 3 3" xfId="23134" xr:uid="{BE79441B-0BE8-4577-8048-A71964FE3B86}"/>
    <cellStyle name="40% - Accent5 4 5 4" xfId="10476" xr:uid="{F01D6D77-3C33-4068-BA7C-E9ABEA69C07F}"/>
    <cellStyle name="40% - Accent5 4 5 5" xfId="18917" xr:uid="{533B7C99-128F-4B56-8DF0-2FE43B89A86B}"/>
    <cellStyle name="40% - Accent5 4 6" xfId="2351" xr:uid="{00000000-0005-0000-0000-0000CB060000}"/>
    <cellStyle name="40% - Accent5 4 6 2" xfId="6657" xr:uid="{00000000-0005-0000-0000-0000CC060000}"/>
    <cellStyle name="40% - Accent5 4 6 2 2" xfId="15107" xr:uid="{FEEBB1C4-F94F-4A09-A8FF-0576799969F0}"/>
    <cellStyle name="40% - Accent5 4 6 2 3" xfId="23547" xr:uid="{5D421AE9-9FAF-4DBD-B75D-99B4D4984CD1}"/>
    <cellStyle name="40% - Accent5 4 6 3" xfId="10889" xr:uid="{0811BC55-830B-44F6-AAE2-B4C17180E3CF}"/>
    <cellStyle name="40% - Accent5 4 6 4" xfId="19330" xr:uid="{F8F20224-BACA-4D17-8549-671058CF4E07}"/>
    <cellStyle name="40% - Accent5 4 7" xfId="4591" xr:uid="{00000000-0005-0000-0000-0000CD060000}"/>
    <cellStyle name="40% - Accent5 4 7 2" xfId="13041" xr:uid="{648E5097-98DC-4F66-8F3A-DF01745B966E}"/>
    <cellStyle name="40% - Accent5 4 7 3" xfId="21481" xr:uid="{F24CDDCF-63F9-4D7D-87B4-41C250CD8433}"/>
    <cellStyle name="40% - Accent5 4 8" xfId="8823" xr:uid="{1DCAFFA7-1D84-4C14-9921-056614955714}"/>
    <cellStyle name="40% - Accent5 4 9" xfId="17264" xr:uid="{762F26D1-E613-4BCF-A03E-48800543583A}"/>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384B0477-1058-40E8-B5F6-220D97511D70}"/>
    <cellStyle name="40% - Accent5 5 2 2 3" xfId="24033" xr:uid="{7D6DF157-3DCB-42C6-8F27-C55CE7C79F43}"/>
    <cellStyle name="40% - Accent5 5 2 3" xfId="11375" xr:uid="{13132BAA-9810-424A-BA18-66A6C39BF736}"/>
    <cellStyle name="40% - Accent5 5 2 4" xfId="19816" xr:uid="{EAF804C9-6725-4E3D-8EFF-7BC4C24A2118}"/>
    <cellStyle name="40% - Accent5 5 3" xfId="4998" xr:uid="{00000000-0005-0000-0000-0000D1060000}"/>
    <cellStyle name="40% - Accent5 5 3 2" xfId="13448" xr:uid="{DE20B357-80E6-4BF1-8E6F-75D24E0292BB}"/>
    <cellStyle name="40% - Accent5 5 3 3" xfId="21888" xr:uid="{875903B2-7FB9-425A-BC86-60702BBEFAD6}"/>
    <cellStyle name="40% - Accent5 5 4" xfId="9230" xr:uid="{B20EE0C0-5688-45C8-A363-7ED476D2F06D}"/>
    <cellStyle name="40% - Accent5 5 5" xfId="17671" xr:uid="{CF4C6A6D-21EF-469A-8119-16F0AA50DE51}"/>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3A7657F2-DE3B-4CF3-907A-5CAE0FABFBFB}"/>
    <cellStyle name="40% - Accent5 6 2 2 3" xfId="24446" xr:uid="{188250F7-1AC2-42D0-93FA-9BC9CDBC9E9E}"/>
    <cellStyle name="40% - Accent5 6 2 3" xfId="11788" xr:uid="{DC8BC178-71BF-4EB7-95A4-DD1E26D50CD7}"/>
    <cellStyle name="40% - Accent5 6 2 4" xfId="20229" xr:uid="{3E5F234F-7B47-4DD7-87E3-E47D5B09E878}"/>
    <cellStyle name="40% - Accent5 6 3" xfId="5411" xr:uid="{00000000-0005-0000-0000-0000D5060000}"/>
    <cellStyle name="40% - Accent5 6 3 2" xfId="13861" xr:uid="{41BFE60F-AB11-4683-A912-D557A9D8B87A}"/>
    <cellStyle name="40% - Accent5 6 3 3" xfId="22301" xr:uid="{ACEA2989-7242-4C7E-BE22-5C8A5B4CAC90}"/>
    <cellStyle name="40% - Accent5 6 4" xfId="9643" xr:uid="{C4A93431-5111-4699-8FF8-7CCB22FE28D4}"/>
    <cellStyle name="40% - Accent5 6 5" xfId="18084" xr:uid="{716D1E2A-7487-4021-AEA0-E53A623B2348}"/>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950418DC-113E-4A8C-A4E6-A08FED4DF9DF}"/>
    <cellStyle name="40% - Accent5 7 2 2 3" xfId="24859" xr:uid="{9755A24E-1EEE-4127-A5F3-5C4A6CF547FF}"/>
    <cellStyle name="40% - Accent5 7 2 3" xfId="12201" xr:uid="{CE0B3C15-9B39-440F-8E41-25B51BD3AD7D}"/>
    <cellStyle name="40% - Accent5 7 2 4" xfId="20642" xr:uid="{38C2F6D7-B9E9-404E-A2CB-45B638D9C0D2}"/>
    <cellStyle name="40% - Accent5 7 3" xfId="5824" xr:uid="{00000000-0005-0000-0000-0000D9060000}"/>
    <cellStyle name="40% - Accent5 7 3 2" xfId="14274" xr:uid="{D95E7F60-93B1-45B8-9C76-F4CDEA9CBA1F}"/>
    <cellStyle name="40% - Accent5 7 3 3" xfId="22714" xr:uid="{E940607B-B49A-41B9-B835-F8826132F7FA}"/>
    <cellStyle name="40% - Accent5 7 4" xfId="10056" xr:uid="{89CE5154-4EA2-4B78-AF32-A89C35EF1F8D}"/>
    <cellStyle name="40% - Accent5 7 5" xfId="18497" xr:uid="{F6BEBDD0-AB68-4CB8-9C4E-C7835977B602}"/>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E44430A5-B8BC-4A87-9EAA-768F37290E6F}"/>
    <cellStyle name="40% - Accent5 8 2 2 3" xfId="25272" xr:uid="{49B72D44-F128-4CA4-94BE-3577E04568D3}"/>
    <cellStyle name="40% - Accent5 8 2 3" xfId="12614" xr:uid="{8D95A0C3-2FAC-439F-B363-C103C6388883}"/>
    <cellStyle name="40% - Accent5 8 2 4" xfId="21055" xr:uid="{3089045C-2068-4460-8C58-3209D887DB3E}"/>
    <cellStyle name="40% - Accent5 8 3" xfId="6237" xr:uid="{00000000-0005-0000-0000-0000DD060000}"/>
    <cellStyle name="40% - Accent5 8 3 2" xfId="14687" xr:uid="{90782261-F06C-4D9D-AD76-C3C292482119}"/>
    <cellStyle name="40% - Accent5 8 3 3" xfId="23127" xr:uid="{C0FBD400-9905-46DE-A1E0-CB30B9DFA86E}"/>
    <cellStyle name="40% - Accent5 8 4" xfId="10469" xr:uid="{E5F4602B-0E07-45E2-8296-5889EEAEEE29}"/>
    <cellStyle name="40% - Accent5 8 5" xfId="18910" xr:uid="{963A06BA-E2F1-4ABA-A13D-697647897536}"/>
    <cellStyle name="40% - Accent5 9" xfId="2344" xr:uid="{00000000-0005-0000-0000-0000DE060000}"/>
    <cellStyle name="40% - Accent5 9 2" xfId="6650" xr:uid="{00000000-0005-0000-0000-0000DF060000}"/>
    <cellStyle name="40% - Accent5 9 2 2" xfId="15100" xr:uid="{30E882CA-BDD6-483D-B0DF-A05D019F679A}"/>
    <cellStyle name="40% - Accent5 9 2 3" xfId="23540" xr:uid="{60334542-911B-4259-9BAA-5E1CAE920310}"/>
    <cellStyle name="40% - Accent5 9 3" xfId="10882" xr:uid="{6538C79C-8F7E-4EAB-8BE6-BEF98A16F387}"/>
    <cellStyle name="40% - Accent5 9 4" xfId="19323" xr:uid="{21F3B2D2-E852-492D-82F8-FEEB1451835A}"/>
    <cellStyle name="40% - Accent6" xfId="89" builtinId="51" customBuiltin="1"/>
    <cellStyle name="40% - Accent6 10" xfId="4592" xr:uid="{00000000-0005-0000-0000-0000E1060000}"/>
    <cellStyle name="40% - Accent6 10 2" xfId="13042" xr:uid="{EBA1A736-A826-455C-A650-B8B4C856E333}"/>
    <cellStyle name="40% - Accent6 10 3" xfId="21482" xr:uid="{28BF19DB-6235-4677-A903-9C702BD357BC}"/>
    <cellStyle name="40% - Accent6 11" xfId="8824" xr:uid="{26B3C09C-0A9A-4DEB-A348-CF8C58141BF2}"/>
    <cellStyle name="40% - Accent6 12" xfId="17265" xr:uid="{1D511AA6-7425-4B4F-B66E-CE33B095F68D}"/>
    <cellStyle name="40% - Accent6 2" xfId="90" xr:uid="{00000000-0005-0000-0000-0000E2060000}"/>
    <cellStyle name="40% - Accent6 2 10" xfId="8825" xr:uid="{B435FBB7-343F-4DA3-A4DA-81530F39A662}"/>
    <cellStyle name="40% - Accent6 2 11" xfId="17266" xr:uid="{209E6239-EF36-4982-AD2E-50B4D8B30C72}"/>
    <cellStyle name="40% - Accent6 2 2" xfId="91" xr:uid="{00000000-0005-0000-0000-0000E3060000}"/>
    <cellStyle name="40% - Accent6 2 2 10" xfId="17267" xr:uid="{6D4F2B37-6346-4E10-B590-67A9D86F0622}"/>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57E21978-3E93-4090-9971-46757D97D1D2}"/>
    <cellStyle name="40% - Accent6 2 2 2 2 2 2 3" xfId="24044" xr:uid="{AC18BAD0-44F6-441A-B6BD-E8B5F37A3E70}"/>
    <cellStyle name="40% - Accent6 2 2 2 2 2 3" xfId="11386" xr:uid="{F32398A0-152E-4955-8EB6-FA8C3A4B23CF}"/>
    <cellStyle name="40% - Accent6 2 2 2 2 2 4" xfId="19827" xr:uid="{05FCD0EB-24B7-4549-B3C3-550A75A981EA}"/>
    <cellStyle name="40% - Accent6 2 2 2 2 3" xfId="5009" xr:uid="{00000000-0005-0000-0000-0000E8060000}"/>
    <cellStyle name="40% - Accent6 2 2 2 2 3 2" xfId="13459" xr:uid="{F53A5C41-A98F-47C1-9293-C516052EAE6A}"/>
    <cellStyle name="40% - Accent6 2 2 2 2 3 3" xfId="21899" xr:uid="{3CDCFFB2-155B-4DF1-94EF-15E8A1630A21}"/>
    <cellStyle name="40% - Accent6 2 2 2 2 4" xfId="9241" xr:uid="{0C7190E8-0FFF-4E41-B6F2-E88E3F6848BF}"/>
    <cellStyle name="40% - Accent6 2 2 2 2 5" xfId="17682" xr:uid="{759918CE-A033-4D34-A7E9-574FD412382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475253A5-D380-4719-BD9A-6EE9B2003EB1}"/>
    <cellStyle name="40% - Accent6 2 2 2 3 2 2 3" xfId="24457" xr:uid="{696EAF7C-BAFF-4139-9E05-9BF78805D0BD}"/>
    <cellStyle name="40% - Accent6 2 2 2 3 2 3" xfId="11799" xr:uid="{E1135E64-B63A-4110-B06E-A23BFB5D7C64}"/>
    <cellStyle name="40% - Accent6 2 2 2 3 2 4" xfId="20240" xr:uid="{CF16B5A3-8DF4-403F-9C3A-C16570BF7252}"/>
    <cellStyle name="40% - Accent6 2 2 2 3 3" xfId="5422" xr:uid="{00000000-0005-0000-0000-0000EC060000}"/>
    <cellStyle name="40% - Accent6 2 2 2 3 3 2" xfId="13872" xr:uid="{F16ECE0C-0D4F-401D-93E4-100F6D670FA7}"/>
    <cellStyle name="40% - Accent6 2 2 2 3 3 3" xfId="22312" xr:uid="{2AAA11E5-F3B5-4E43-82FE-803F66A7BC10}"/>
    <cellStyle name="40% - Accent6 2 2 2 3 4" xfId="9654" xr:uid="{163183A8-98DC-473B-9488-74A7F3BBD094}"/>
    <cellStyle name="40% - Accent6 2 2 2 3 5" xfId="18095" xr:uid="{0433B7E5-3599-4828-BAB4-83F06C0A47B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08D17E97-C0A6-4532-8BA9-149E4D7821CA}"/>
    <cellStyle name="40% - Accent6 2 2 2 4 2 2 3" xfId="24870" xr:uid="{375DCAD6-B106-4E9E-AF49-DB5F4DAFA0C5}"/>
    <cellStyle name="40% - Accent6 2 2 2 4 2 3" xfId="12212" xr:uid="{A07F4E9F-C50D-4946-8B30-9865C4936076}"/>
    <cellStyle name="40% - Accent6 2 2 2 4 2 4" xfId="20653" xr:uid="{13846CD5-F1F6-491E-B58D-2A4E8024650D}"/>
    <cellStyle name="40% - Accent6 2 2 2 4 3" xfId="5835" xr:uid="{00000000-0005-0000-0000-0000F0060000}"/>
    <cellStyle name="40% - Accent6 2 2 2 4 3 2" xfId="14285" xr:uid="{D0EB9DA7-556C-4E9C-B0D9-A5E78C36449C}"/>
    <cellStyle name="40% - Accent6 2 2 2 4 3 3" xfId="22725" xr:uid="{627E083A-6030-490A-B6BB-551A8695A932}"/>
    <cellStyle name="40% - Accent6 2 2 2 4 4" xfId="10067" xr:uid="{4A65EA4D-37D1-403C-BC3A-A5BF5CDA8DC6}"/>
    <cellStyle name="40% - Accent6 2 2 2 4 5" xfId="18508" xr:uid="{1087E401-6A7C-4F01-B192-68B2C097272D}"/>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FAF47D8B-D280-4EA3-92F1-3B65CF1FF36A}"/>
    <cellStyle name="40% - Accent6 2 2 2 5 2 2 3" xfId="25283" xr:uid="{86A75689-D35C-4E34-BD11-38D0497B4D3A}"/>
    <cellStyle name="40% - Accent6 2 2 2 5 2 3" xfId="12625" xr:uid="{8B69A222-AA40-4294-B414-30BF69DD4052}"/>
    <cellStyle name="40% - Accent6 2 2 2 5 2 4" xfId="21066" xr:uid="{82CE3BD6-4F00-41CF-8109-465E2C90E1C8}"/>
    <cellStyle name="40% - Accent6 2 2 2 5 3" xfId="6248" xr:uid="{00000000-0005-0000-0000-0000F4060000}"/>
    <cellStyle name="40% - Accent6 2 2 2 5 3 2" xfId="14698" xr:uid="{27439271-BC8F-4462-B542-D05A5B4F093C}"/>
    <cellStyle name="40% - Accent6 2 2 2 5 3 3" xfId="23138" xr:uid="{FC6F2BE9-1845-4E45-8F40-C6E4836770F5}"/>
    <cellStyle name="40% - Accent6 2 2 2 5 4" xfId="10480" xr:uid="{68CC5E30-CDEF-495E-B7AC-8B3B31D45593}"/>
    <cellStyle name="40% - Accent6 2 2 2 5 5" xfId="18921" xr:uid="{BDCCE241-57A0-4930-AFB2-0E49220953DB}"/>
    <cellStyle name="40% - Accent6 2 2 2 6" xfId="2355" xr:uid="{00000000-0005-0000-0000-0000F5060000}"/>
    <cellStyle name="40% - Accent6 2 2 2 6 2" xfId="6661" xr:uid="{00000000-0005-0000-0000-0000F6060000}"/>
    <cellStyle name="40% - Accent6 2 2 2 6 2 2" xfId="15111" xr:uid="{8323D874-FC39-48F1-893C-CB82BB6C1B46}"/>
    <cellStyle name="40% - Accent6 2 2 2 6 2 3" xfId="23551" xr:uid="{9536AB4A-0FAF-4E5D-9BE5-5E1DB9AC47AA}"/>
    <cellStyle name="40% - Accent6 2 2 2 6 3" xfId="10893" xr:uid="{5605852B-44A1-4289-B478-B600F10FC4B6}"/>
    <cellStyle name="40% - Accent6 2 2 2 6 4" xfId="19334" xr:uid="{BAC2F8A3-B489-4CDC-AA4E-8CEE1E2E6D43}"/>
    <cellStyle name="40% - Accent6 2 2 2 7" xfId="4595" xr:uid="{00000000-0005-0000-0000-0000F7060000}"/>
    <cellStyle name="40% - Accent6 2 2 2 7 2" xfId="13045" xr:uid="{1EB1AB4A-D9BE-4039-B133-4E7D7373E144}"/>
    <cellStyle name="40% - Accent6 2 2 2 7 3" xfId="21485" xr:uid="{DC3A7206-7DC0-46D6-810B-4A39DB2BDD9D}"/>
    <cellStyle name="40% - Accent6 2 2 2 8" xfId="8827" xr:uid="{D83C584A-0268-4F24-BB2A-0AB98038E01F}"/>
    <cellStyle name="40% - Accent6 2 2 2 9" xfId="17268" xr:uid="{2F5DE04C-AC6E-454C-B0FC-DCAE67C310BA}"/>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78A92441-7547-4A53-9A94-F6185C7036F6}"/>
    <cellStyle name="40% - Accent6 2 2 3 2 2 3" xfId="24043" xr:uid="{4105D799-F385-4F17-90E3-DAE567BAF8A1}"/>
    <cellStyle name="40% - Accent6 2 2 3 2 3" xfId="11385" xr:uid="{4EA572B5-B7EF-4E86-93A5-F9E2A6CD7D82}"/>
    <cellStyle name="40% - Accent6 2 2 3 2 4" xfId="19826" xr:uid="{78A8980B-CC8C-4068-8936-2F8E8D8DE150}"/>
    <cellStyle name="40% - Accent6 2 2 3 3" xfId="5008" xr:uid="{00000000-0005-0000-0000-0000FB060000}"/>
    <cellStyle name="40% - Accent6 2 2 3 3 2" xfId="13458" xr:uid="{45465A52-7DA7-46A7-9420-81DF9F91E44A}"/>
    <cellStyle name="40% - Accent6 2 2 3 3 3" xfId="21898" xr:uid="{B670D95D-6015-40DA-837E-48C9C1C6DD77}"/>
    <cellStyle name="40% - Accent6 2 2 3 4" xfId="9240" xr:uid="{22BD7C15-FA4C-4BF1-A4B0-5401923EA58A}"/>
    <cellStyle name="40% - Accent6 2 2 3 5" xfId="17681" xr:uid="{B4FD9BFC-8DF1-44A3-8C2E-E55CCF5D43E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F0527E6B-A66F-4A35-89A6-B8EEA3C3BC5C}"/>
    <cellStyle name="40% - Accent6 2 2 4 2 2 3" xfId="24456" xr:uid="{E3201C9C-0D03-4996-A5B1-DF633E3C588F}"/>
    <cellStyle name="40% - Accent6 2 2 4 2 3" xfId="11798" xr:uid="{29F6E637-226A-4574-B5DF-6B577B5A6AF2}"/>
    <cellStyle name="40% - Accent6 2 2 4 2 4" xfId="20239" xr:uid="{BD56F8B3-1193-4BEA-B1AE-BCE735F06239}"/>
    <cellStyle name="40% - Accent6 2 2 4 3" xfId="5421" xr:uid="{00000000-0005-0000-0000-0000FF060000}"/>
    <cellStyle name="40% - Accent6 2 2 4 3 2" xfId="13871" xr:uid="{D424DD2F-F072-4AB2-9F0B-BB43EA0D8EE0}"/>
    <cellStyle name="40% - Accent6 2 2 4 3 3" xfId="22311" xr:uid="{6ADB45D8-5C88-447D-A423-CD53D8537C45}"/>
    <cellStyle name="40% - Accent6 2 2 4 4" xfId="9653" xr:uid="{23003ADC-FABD-49B3-BD87-6530E5B5D4FB}"/>
    <cellStyle name="40% - Accent6 2 2 4 5" xfId="18094" xr:uid="{758199DC-2BCB-4762-A8EE-DF7F1B7ED620}"/>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1AF8606F-38A1-400F-BB0B-0B60D687F4EA}"/>
    <cellStyle name="40% - Accent6 2 2 5 2 2 3" xfId="24869" xr:uid="{3FBCE5B0-C229-4847-8B0A-4F518B15B215}"/>
    <cellStyle name="40% - Accent6 2 2 5 2 3" xfId="12211" xr:uid="{E17C9560-D59A-485E-9806-6D96C9FCC389}"/>
    <cellStyle name="40% - Accent6 2 2 5 2 4" xfId="20652" xr:uid="{1150A0E0-CFB2-4D9C-AACE-DE2484580D88}"/>
    <cellStyle name="40% - Accent6 2 2 5 3" xfId="5834" xr:uid="{00000000-0005-0000-0000-000003070000}"/>
    <cellStyle name="40% - Accent6 2 2 5 3 2" xfId="14284" xr:uid="{3BB7038C-5DF9-43C8-9141-9F4733B9FB2E}"/>
    <cellStyle name="40% - Accent6 2 2 5 3 3" xfId="22724" xr:uid="{5627062E-D5E7-4670-82B9-239A0FB06546}"/>
    <cellStyle name="40% - Accent6 2 2 5 4" xfId="10066" xr:uid="{080B09C5-5AE5-4A03-97A6-07D7EEE8CBEA}"/>
    <cellStyle name="40% - Accent6 2 2 5 5" xfId="18507" xr:uid="{F5229341-9E2B-43C0-BB32-28309CCBFE83}"/>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4B9B91BC-0D96-4CAF-924B-B1930887D967}"/>
    <cellStyle name="40% - Accent6 2 2 6 2 2 3" xfId="25282" xr:uid="{A3023812-DB11-43FB-8686-505BC8515C6D}"/>
    <cellStyle name="40% - Accent6 2 2 6 2 3" xfId="12624" xr:uid="{03741D83-A542-405C-B50F-7C8EF9E9361A}"/>
    <cellStyle name="40% - Accent6 2 2 6 2 4" xfId="21065" xr:uid="{7C2CF975-4965-4F80-9422-0B371215ED7D}"/>
    <cellStyle name="40% - Accent6 2 2 6 3" xfId="6247" xr:uid="{00000000-0005-0000-0000-000007070000}"/>
    <cellStyle name="40% - Accent6 2 2 6 3 2" xfId="14697" xr:uid="{40F8120F-64F2-4421-A5C4-208BBC5DF62E}"/>
    <cellStyle name="40% - Accent6 2 2 6 3 3" xfId="23137" xr:uid="{4FC8FEC0-BF58-4ED4-94F8-7ECC2C6563C7}"/>
    <cellStyle name="40% - Accent6 2 2 6 4" xfId="10479" xr:uid="{88386AE9-2158-461C-BA8C-A12E45232A28}"/>
    <cellStyle name="40% - Accent6 2 2 6 5" xfId="18920" xr:uid="{54445A14-C439-4C28-A9CE-60EA6D97AF43}"/>
    <cellStyle name="40% - Accent6 2 2 7" xfId="2354" xr:uid="{00000000-0005-0000-0000-000008070000}"/>
    <cellStyle name="40% - Accent6 2 2 7 2" xfId="6660" xr:uid="{00000000-0005-0000-0000-000009070000}"/>
    <cellStyle name="40% - Accent6 2 2 7 2 2" xfId="15110" xr:uid="{27E9FCFF-C2D9-46D3-BFC9-2FBE780EB294}"/>
    <cellStyle name="40% - Accent6 2 2 7 2 3" xfId="23550" xr:uid="{BBCADEE6-1E37-44C0-A2B4-B2BEE061D96C}"/>
    <cellStyle name="40% - Accent6 2 2 7 3" xfId="10892" xr:uid="{4BE8BF63-0343-426B-9F44-CC84D8752BA1}"/>
    <cellStyle name="40% - Accent6 2 2 7 4" xfId="19333" xr:uid="{25370D21-FCF6-4717-A90E-E99436BB6874}"/>
    <cellStyle name="40% - Accent6 2 2 8" xfId="4594" xr:uid="{00000000-0005-0000-0000-00000A070000}"/>
    <cellStyle name="40% - Accent6 2 2 8 2" xfId="13044" xr:uid="{FCE8AB13-FE34-4667-9E41-F679B463253A}"/>
    <cellStyle name="40% - Accent6 2 2 8 3" xfId="21484" xr:uid="{38B31436-B3BA-491C-B6FC-C2A136E05160}"/>
    <cellStyle name="40% - Accent6 2 2 9" xfId="8826" xr:uid="{7ACEAEFA-C61A-4DB8-98FE-74664F1315C2}"/>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56D7D524-B450-4A55-8885-237049D427E7}"/>
    <cellStyle name="40% - Accent6 2 3 2 2 2 3" xfId="24045" xr:uid="{1C56F2E8-BA50-457E-95A1-0CB35FA5A8CA}"/>
    <cellStyle name="40% - Accent6 2 3 2 2 3" xfId="11387" xr:uid="{BE63B1F6-3454-41FB-A880-C42EFD2D8252}"/>
    <cellStyle name="40% - Accent6 2 3 2 2 4" xfId="19828" xr:uid="{96763710-1E74-4B25-9405-47848BD86D68}"/>
    <cellStyle name="40% - Accent6 2 3 2 3" xfId="5010" xr:uid="{00000000-0005-0000-0000-00000F070000}"/>
    <cellStyle name="40% - Accent6 2 3 2 3 2" xfId="13460" xr:uid="{6CFB61FD-21FD-46FD-855C-C47EADC34946}"/>
    <cellStyle name="40% - Accent6 2 3 2 3 3" xfId="21900" xr:uid="{81958025-7144-42BB-BDAB-4247C269F561}"/>
    <cellStyle name="40% - Accent6 2 3 2 4" xfId="9242" xr:uid="{5C890F20-B24A-4C8E-B465-573DE6FFF6D0}"/>
    <cellStyle name="40% - Accent6 2 3 2 5" xfId="17683" xr:uid="{29FF2E50-111F-4141-A52B-5B77B71B6E7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24DD330E-E9A5-4CE9-84F1-AF720DB59D23}"/>
    <cellStyle name="40% - Accent6 2 3 3 2 2 3" xfId="24458" xr:uid="{1A1A37B8-A64C-45CE-A8D1-3ECEB82FF2B2}"/>
    <cellStyle name="40% - Accent6 2 3 3 2 3" xfId="11800" xr:uid="{614E0D53-E944-4E84-8BC2-4851E1D96303}"/>
    <cellStyle name="40% - Accent6 2 3 3 2 4" xfId="20241" xr:uid="{7B1F77D7-FB42-440B-9519-9B31CC3334EA}"/>
    <cellStyle name="40% - Accent6 2 3 3 3" xfId="5423" xr:uid="{00000000-0005-0000-0000-000013070000}"/>
    <cellStyle name="40% - Accent6 2 3 3 3 2" xfId="13873" xr:uid="{E19D8D54-0438-4536-94D5-B88812A22D60}"/>
    <cellStyle name="40% - Accent6 2 3 3 3 3" xfId="22313" xr:uid="{EC5E70D0-C3A6-4E8C-A3C9-4F6DF6DC0C65}"/>
    <cellStyle name="40% - Accent6 2 3 3 4" xfId="9655" xr:uid="{94056335-7CC9-4FAF-A3E9-38075679E0B4}"/>
    <cellStyle name="40% - Accent6 2 3 3 5" xfId="18096" xr:uid="{9814907F-570A-4E9D-9C87-54B6FCEA783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237A16B5-D12C-4277-B807-577AEDE3D5D8}"/>
    <cellStyle name="40% - Accent6 2 3 4 2 2 3" xfId="24871" xr:uid="{9F4E3E84-91F6-4E29-AAB8-82E01A9977B4}"/>
    <cellStyle name="40% - Accent6 2 3 4 2 3" xfId="12213" xr:uid="{C9C61168-40DF-4A77-8B99-332553CFE786}"/>
    <cellStyle name="40% - Accent6 2 3 4 2 4" xfId="20654" xr:uid="{DF0C6DA5-709C-4FCA-9A19-87F10E6DAD63}"/>
    <cellStyle name="40% - Accent6 2 3 4 3" xfId="5836" xr:uid="{00000000-0005-0000-0000-000017070000}"/>
    <cellStyle name="40% - Accent6 2 3 4 3 2" xfId="14286" xr:uid="{38F716EF-1F37-4DA5-94CB-97BC9A8EF1D0}"/>
    <cellStyle name="40% - Accent6 2 3 4 3 3" xfId="22726" xr:uid="{4A1E6C66-C126-40F2-A676-EF3C0FAC2178}"/>
    <cellStyle name="40% - Accent6 2 3 4 4" xfId="10068" xr:uid="{D365D208-E856-409A-B5EC-83A1EDEDE7AB}"/>
    <cellStyle name="40% - Accent6 2 3 4 5" xfId="18509" xr:uid="{961E283A-2BAA-4B8C-B411-B44A04906C5C}"/>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64E49EC7-4FA4-4036-836B-10B2A1C37E8E}"/>
    <cellStyle name="40% - Accent6 2 3 5 2 2 3" xfId="25284" xr:uid="{3ACBEB83-728E-459D-9B90-C1C717993634}"/>
    <cellStyle name="40% - Accent6 2 3 5 2 3" xfId="12626" xr:uid="{2845D501-72BD-4AB3-B21A-B6C866978894}"/>
    <cellStyle name="40% - Accent6 2 3 5 2 4" xfId="21067" xr:uid="{1C34AE51-0BE2-43A0-B186-D9AAB7DA226C}"/>
    <cellStyle name="40% - Accent6 2 3 5 3" xfId="6249" xr:uid="{00000000-0005-0000-0000-00001B070000}"/>
    <cellStyle name="40% - Accent6 2 3 5 3 2" xfId="14699" xr:uid="{A7EA4654-E98A-46B6-B8B3-05F7FA19DAA6}"/>
    <cellStyle name="40% - Accent6 2 3 5 3 3" xfId="23139" xr:uid="{191FE03C-DF7E-475B-B9C6-E97CB0DD0A01}"/>
    <cellStyle name="40% - Accent6 2 3 5 4" xfId="10481" xr:uid="{C5629EAD-3EA2-4DD0-9513-8584FE24D934}"/>
    <cellStyle name="40% - Accent6 2 3 5 5" xfId="18922" xr:uid="{21E0C5C5-728F-486F-B4D0-3853B1FABFE7}"/>
    <cellStyle name="40% - Accent6 2 3 6" xfId="2356" xr:uid="{00000000-0005-0000-0000-00001C070000}"/>
    <cellStyle name="40% - Accent6 2 3 6 2" xfId="6662" xr:uid="{00000000-0005-0000-0000-00001D070000}"/>
    <cellStyle name="40% - Accent6 2 3 6 2 2" xfId="15112" xr:uid="{4538B0B6-41AE-4B79-9BE4-93336F3A7940}"/>
    <cellStyle name="40% - Accent6 2 3 6 2 3" xfId="23552" xr:uid="{07E9D7FA-D409-44CC-8054-4E732EC919F4}"/>
    <cellStyle name="40% - Accent6 2 3 6 3" xfId="10894" xr:uid="{0DF6A0FF-4945-4E4D-8A60-6F620EE862A0}"/>
    <cellStyle name="40% - Accent6 2 3 6 4" xfId="19335" xr:uid="{05B3230A-58BA-46E2-B61A-A34CF59ED0D3}"/>
    <cellStyle name="40% - Accent6 2 3 7" xfId="4596" xr:uid="{00000000-0005-0000-0000-00001E070000}"/>
    <cellStyle name="40% - Accent6 2 3 7 2" xfId="13046" xr:uid="{207ADBFE-7CE3-4374-8ED7-0351B1355D3B}"/>
    <cellStyle name="40% - Accent6 2 3 7 3" xfId="21486" xr:uid="{9BAE3C01-9705-4914-B51E-B27C18EB85B6}"/>
    <cellStyle name="40% - Accent6 2 3 8" xfId="8828" xr:uid="{28A1AB2E-AA4B-4620-8E30-2916950E98D0}"/>
    <cellStyle name="40% - Accent6 2 3 9" xfId="17269" xr:uid="{6CCDA2E8-D2D0-45A3-A047-DCE7C43F2709}"/>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40EDF4DE-EA57-40D0-BF1D-2E6AA0616856}"/>
    <cellStyle name="40% - Accent6 2 4 2 2 3" xfId="24042" xr:uid="{2311BE4F-54DC-4B80-A3C5-EB034F0AE584}"/>
    <cellStyle name="40% - Accent6 2 4 2 3" xfId="11384" xr:uid="{257FA2E9-9554-42F7-8F23-DB0ED706237E}"/>
    <cellStyle name="40% - Accent6 2 4 2 4" xfId="19825" xr:uid="{D2266457-FA16-40E5-8142-DE01F1F8B72C}"/>
    <cellStyle name="40% - Accent6 2 4 3" xfId="5007" xr:uid="{00000000-0005-0000-0000-000022070000}"/>
    <cellStyle name="40% - Accent6 2 4 3 2" xfId="13457" xr:uid="{9A385D5F-F2BE-486F-B771-A3672FBA4674}"/>
    <cellStyle name="40% - Accent6 2 4 3 3" xfId="21897" xr:uid="{30FE6097-BD4A-409B-8726-43D756F41D05}"/>
    <cellStyle name="40% - Accent6 2 4 4" xfId="9239" xr:uid="{12F79FEA-4D07-4138-A438-AA141A5A6319}"/>
    <cellStyle name="40% - Accent6 2 4 5" xfId="17680" xr:uid="{C79BD21C-8C2F-4878-B9D3-453911031BE1}"/>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DF489E82-6D21-41E5-8BAF-64303B88ECAC}"/>
    <cellStyle name="40% - Accent6 2 5 2 2 3" xfId="24455" xr:uid="{CC7A94C3-51D0-4886-AFEB-7E7E0C245460}"/>
    <cellStyle name="40% - Accent6 2 5 2 3" xfId="11797" xr:uid="{2A9EB08C-1BCB-4718-98AD-22C476A44A34}"/>
    <cellStyle name="40% - Accent6 2 5 2 4" xfId="20238" xr:uid="{F65FEF55-7856-47F2-91F5-7B5D0B070B12}"/>
    <cellStyle name="40% - Accent6 2 5 3" xfId="5420" xr:uid="{00000000-0005-0000-0000-000026070000}"/>
    <cellStyle name="40% - Accent6 2 5 3 2" xfId="13870" xr:uid="{46BC2EB3-46E7-4DE4-8D5C-4017995D3C89}"/>
    <cellStyle name="40% - Accent6 2 5 3 3" xfId="22310" xr:uid="{01C53C2D-FBCB-4C81-B8F6-53ACF5DF76FE}"/>
    <cellStyle name="40% - Accent6 2 5 4" xfId="9652" xr:uid="{18C8F0C8-98BE-4D40-A1EA-2706DE131196}"/>
    <cellStyle name="40% - Accent6 2 5 5" xfId="18093" xr:uid="{2EE7C2C9-4616-42C8-BAA7-53BB8D7FBC6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FDC98B4D-AD68-45C2-8787-CCD279F143C2}"/>
    <cellStyle name="40% - Accent6 2 6 2 2 3" xfId="24868" xr:uid="{7ED3FE9F-9332-444A-A7BF-BFE2014BA59D}"/>
    <cellStyle name="40% - Accent6 2 6 2 3" xfId="12210" xr:uid="{8A5B4294-6605-4024-A67A-3341413C8FB7}"/>
    <cellStyle name="40% - Accent6 2 6 2 4" xfId="20651" xr:uid="{15349777-0041-4BCF-8B14-FC060CDBDB9F}"/>
    <cellStyle name="40% - Accent6 2 6 3" xfId="5833" xr:uid="{00000000-0005-0000-0000-00002A070000}"/>
    <cellStyle name="40% - Accent6 2 6 3 2" xfId="14283" xr:uid="{43E2B48B-81AC-403F-8DFA-B0973F0B20F3}"/>
    <cellStyle name="40% - Accent6 2 6 3 3" xfId="22723" xr:uid="{91CE1675-D807-4053-BEB4-E226A6B2CC08}"/>
    <cellStyle name="40% - Accent6 2 6 4" xfId="10065" xr:uid="{351E97FB-5B1D-4029-8E90-C98738E0304A}"/>
    <cellStyle name="40% - Accent6 2 6 5" xfId="18506" xr:uid="{9897B187-A867-4730-BB39-8474264791F9}"/>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75EA234D-3803-496F-98D2-5B5B1BE92316}"/>
    <cellStyle name="40% - Accent6 2 7 2 2 3" xfId="25281" xr:uid="{4ABD7F6B-C369-4C8F-8BB8-D68939D9FA10}"/>
    <cellStyle name="40% - Accent6 2 7 2 3" xfId="12623" xr:uid="{09A60F6C-4616-4636-AC45-0A671F6C7D1E}"/>
    <cellStyle name="40% - Accent6 2 7 2 4" xfId="21064" xr:uid="{1CFE5B97-BBB8-4EAD-8A15-3126D082CBCB}"/>
    <cellStyle name="40% - Accent6 2 7 3" xfId="6246" xr:uid="{00000000-0005-0000-0000-00002E070000}"/>
    <cellStyle name="40% - Accent6 2 7 3 2" xfId="14696" xr:uid="{740F15CF-E832-41FE-B559-444C74013136}"/>
    <cellStyle name="40% - Accent6 2 7 3 3" xfId="23136" xr:uid="{84C8FED6-ACE7-4E74-B5D0-00DF666F4BCF}"/>
    <cellStyle name="40% - Accent6 2 7 4" xfId="10478" xr:uid="{08BB9ABB-9595-4201-8F1B-8B97E7AEEC31}"/>
    <cellStyle name="40% - Accent6 2 7 5" xfId="18919" xr:uid="{29C2BFBC-6B7E-42FC-97C5-2AD11B75F5BE}"/>
    <cellStyle name="40% - Accent6 2 8" xfId="2353" xr:uid="{00000000-0005-0000-0000-00002F070000}"/>
    <cellStyle name="40% - Accent6 2 8 2" xfId="6659" xr:uid="{00000000-0005-0000-0000-000030070000}"/>
    <cellStyle name="40% - Accent6 2 8 2 2" xfId="15109" xr:uid="{3E97CC75-732F-4880-A81D-F1BAFEC087A4}"/>
    <cellStyle name="40% - Accent6 2 8 2 3" xfId="23549" xr:uid="{58CF17E1-2796-46A8-8BB1-0F9CD16BA01C}"/>
    <cellStyle name="40% - Accent6 2 8 3" xfId="10891" xr:uid="{78D05E0D-1F4D-4A54-B13C-B86F9701CB1F}"/>
    <cellStyle name="40% - Accent6 2 8 4" xfId="19332" xr:uid="{7512EF76-C4D1-44FD-AF87-0867B7CE58C9}"/>
    <cellStyle name="40% - Accent6 2 9" xfId="4593" xr:uid="{00000000-0005-0000-0000-000031070000}"/>
    <cellStyle name="40% - Accent6 2 9 2" xfId="13043" xr:uid="{5775C039-4BCF-4D37-B0B1-7F9169DAFBE1}"/>
    <cellStyle name="40% - Accent6 2 9 3" xfId="21483" xr:uid="{9423E26D-66A6-4674-9245-B25F866424BB}"/>
    <cellStyle name="40% - Accent6 3" xfId="94" xr:uid="{00000000-0005-0000-0000-000032070000}"/>
    <cellStyle name="40% - Accent6 3 10" xfId="17270" xr:uid="{C41EB49E-2F02-4925-A5F1-6E93DF8670B9}"/>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E0FFBDF1-1234-4449-B708-642C4CE9CE41}"/>
    <cellStyle name="40% - Accent6 3 2 2 2 2 3" xfId="24047" xr:uid="{65AAEAB5-9749-4F54-8A5D-543B62DA6E00}"/>
    <cellStyle name="40% - Accent6 3 2 2 2 3" xfId="11389" xr:uid="{8CDC0559-875A-476F-AFBA-356C91FED0C7}"/>
    <cellStyle name="40% - Accent6 3 2 2 2 4" xfId="19830" xr:uid="{0CCE2BC6-4842-4B08-B5E3-B61AC3336062}"/>
    <cellStyle name="40% - Accent6 3 2 2 3" xfId="5012" xr:uid="{00000000-0005-0000-0000-000037070000}"/>
    <cellStyle name="40% - Accent6 3 2 2 3 2" xfId="13462" xr:uid="{79E1AB9D-990A-4150-87F3-54857551CD84}"/>
    <cellStyle name="40% - Accent6 3 2 2 3 3" xfId="21902" xr:uid="{CBC84288-1481-4BDA-A3B2-8B6C17D1B6C6}"/>
    <cellStyle name="40% - Accent6 3 2 2 4" xfId="9244" xr:uid="{46BD8AC7-AD09-4386-AA6A-093BA1E40A06}"/>
    <cellStyle name="40% - Accent6 3 2 2 5" xfId="17685" xr:uid="{07A2B841-6DB9-4726-9037-7B5BC5119632}"/>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371CAD96-109A-475F-8EEA-F084380FD4FC}"/>
    <cellStyle name="40% - Accent6 3 2 3 2 2 3" xfId="24460" xr:uid="{322D5139-350A-4CBA-99C9-9B663152AD3F}"/>
    <cellStyle name="40% - Accent6 3 2 3 2 3" xfId="11802" xr:uid="{BAB2AAF6-C093-4DBE-A382-953003AEBB47}"/>
    <cellStyle name="40% - Accent6 3 2 3 2 4" xfId="20243" xr:uid="{2A5A7622-57FE-4B10-BAC9-3CCC9DDEAA30}"/>
    <cellStyle name="40% - Accent6 3 2 3 3" xfId="5425" xr:uid="{00000000-0005-0000-0000-00003B070000}"/>
    <cellStyle name="40% - Accent6 3 2 3 3 2" xfId="13875" xr:uid="{0C472954-D1CA-4530-9937-C29F6B84E2BE}"/>
    <cellStyle name="40% - Accent6 3 2 3 3 3" xfId="22315" xr:uid="{BFA3D45A-4927-4720-BD07-D6D3BA2E003E}"/>
    <cellStyle name="40% - Accent6 3 2 3 4" xfId="9657" xr:uid="{152009BA-21DB-449C-A0C1-1A5A73108D0E}"/>
    <cellStyle name="40% - Accent6 3 2 3 5" xfId="18098" xr:uid="{F7743E01-02FA-47AF-B342-A2BFA56186E6}"/>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544138DB-F9F5-47FF-80CA-3A4CBC93C605}"/>
    <cellStyle name="40% - Accent6 3 2 4 2 2 3" xfId="24873" xr:uid="{A90C2040-B05C-4776-BE30-3D7AC52E7E80}"/>
    <cellStyle name="40% - Accent6 3 2 4 2 3" xfId="12215" xr:uid="{08F3E5A8-76C9-4BB2-9E31-59D634AD0108}"/>
    <cellStyle name="40% - Accent6 3 2 4 2 4" xfId="20656" xr:uid="{315596EA-554D-48C1-8D49-C6C66283BFA4}"/>
    <cellStyle name="40% - Accent6 3 2 4 3" xfId="5838" xr:uid="{00000000-0005-0000-0000-00003F070000}"/>
    <cellStyle name="40% - Accent6 3 2 4 3 2" xfId="14288" xr:uid="{97577A87-F819-43C7-B3CC-2E56DB8AE0E7}"/>
    <cellStyle name="40% - Accent6 3 2 4 3 3" xfId="22728" xr:uid="{B5AD9A51-79E5-47D8-9013-3EB233C68C81}"/>
    <cellStyle name="40% - Accent6 3 2 4 4" xfId="10070" xr:uid="{316E2303-AD33-44E8-88AB-FF86AA006D4B}"/>
    <cellStyle name="40% - Accent6 3 2 4 5" xfId="18511" xr:uid="{5AE7DB7F-0BE6-4FEA-9CA6-B8DCCC8801F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BD8CBD1B-6700-46CA-A578-0E12FBEA99BF}"/>
    <cellStyle name="40% - Accent6 3 2 5 2 2 3" xfId="25286" xr:uid="{8EC8EF83-BA6C-41C3-A6C1-4442601832B6}"/>
    <cellStyle name="40% - Accent6 3 2 5 2 3" xfId="12628" xr:uid="{3AE0AC50-7ED3-4DBF-9791-717AAB16FB31}"/>
    <cellStyle name="40% - Accent6 3 2 5 2 4" xfId="21069" xr:uid="{080457F3-245A-4C4C-986C-A52DF3DA1C57}"/>
    <cellStyle name="40% - Accent6 3 2 5 3" xfId="6251" xr:uid="{00000000-0005-0000-0000-000043070000}"/>
    <cellStyle name="40% - Accent6 3 2 5 3 2" xfId="14701" xr:uid="{15DDC5CB-4E72-4C58-8144-6DBCC227629B}"/>
    <cellStyle name="40% - Accent6 3 2 5 3 3" xfId="23141" xr:uid="{C991AA6D-031C-4B0A-B978-FF11B64280AE}"/>
    <cellStyle name="40% - Accent6 3 2 5 4" xfId="10483" xr:uid="{B4C38FF9-1357-465E-A252-34A53CE9087D}"/>
    <cellStyle name="40% - Accent6 3 2 5 5" xfId="18924" xr:uid="{65B6D86A-3227-45B6-BDAC-301DDBF885D8}"/>
    <cellStyle name="40% - Accent6 3 2 6" xfId="2358" xr:uid="{00000000-0005-0000-0000-000044070000}"/>
    <cellStyle name="40% - Accent6 3 2 6 2" xfId="6664" xr:uid="{00000000-0005-0000-0000-000045070000}"/>
    <cellStyle name="40% - Accent6 3 2 6 2 2" xfId="15114" xr:uid="{4CB9082C-BFAB-4EFA-964D-228E4C77E0BF}"/>
    <cellStyle name="40% - Accent6 3 2 6 2 3" xfId="23554" xr:uid="{CE6A6CFB-9328-4AC6-A55F-BF4A90FB0588}"/>
    <cellStyle name="40% - Accent6 3 2 6 3" xfId="10896" xr:uid="{F9CD68D0-F813-410D-B8A5-75E041898052}"/>
    <cellStyle name="40% - Accent6 3 2 6 4" xfId="19337" xr:uid="{66289B75-60D9-4719-9E0C-0FDDCF6BF245}"/>
    <cellStyle name="40% - Accent6 3 2 7" xfId="4598" xr:uid="{00000000-0005-0000-0000-000046070000}"/>
    <cellStyle name="40% - Accent6 3 2 7 2" xfId="13048" xr:uid="{1EC3887E-8CED-4D19-8178-A5258A9FAFC4}"/>
    <cellStyle name="40% - Accent6 3 2 7 3" xfId="21488" xr:uid="{021CB7AF-6C58-4997-95D7-5C3D408D6EC6}"/>
    <cellStyle name="40% - Accent6 3 2 8" xfId="8830" xr:uid="{078D6658-D51A-4DBB-80BC-5C60EC9CA5A0}"/>
    <cellStyle name="40% - Accent6 3 2 9" xfId="17271" xr:uid="{FBB15999-6E46-4919-A002-F48FA3AA6F86}"/>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CFAB54DC-681B-43D9-A639-0FADCBE81B4E}"/>
    <cellStyle name="40% - Accent6 3 3 2 2 3" xfId="24046" xr:uid="{52FBBED9-6CE1-4C6E-897B-E424C78C1C2A}"/>
    <cellStyle name="40% - Accent6 3 3 2 3" xfId="11388" xr:uid="{60EB39EE-3974-42B6-8EDB-D28C17581AF6}"/>
    <cellStyle name="40% - Accent6 3 3 2 4" xfId="19829" xr:uid="{81274BBE-C816-438E-97D3-54546DCA2CE8}"/>
    <cellStyle name="40% - Accent6 3 3 3" xfId="5011" xr:uid="{00000000-0005-0000-0000-00004A070000}"/>
    <cellStyle name="40% - Accent6 3 3 3 2" xfId="13461" xr:uid="{2E2B3F77-7414-416A-8994-C97A8653E6A1}"/>
    <cellStyle name="40% - Accent6 3 3 3 3" xfId="21901" xr:uid="{41DD7EEB-35A1-4CA9-841C-98C5B2174CE9}"/>
    <cellStyle name="40% - Accent6 3 3 4" xfId="9243" xr:uid="{2381DEEC-EC78-450F-B0CB-394DF9852D1A}"/>
    <cellStyle name="40% - Accent6 3 3 5" xfId="17684" xr:uid="{F234B24A-B090-489B-B107-7A5DDCAEB83D}"/>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243D92B1-5059-42A9-BC92-6E34DF4F0A04}"/>
    <cellStyle name="40% - Accent6 3 4 2 2 3" xfId="24459" xr:uid="{9213B166-DA78-48CF-BC2C-6D5A9B6A5E55}"/>
    <cellStyle name="40% - Accent6 3 4 2 3" xfId="11801" xr:uid="{5B974839-0C07-485A-8B2D-27242690B8D6}"/>
    <cellStyle name="40% - Accent6 3 4 2 4" xfId="20242" xr:uid="{8FF77BCA-4C84-47FA-8A0D-2C0B739A9C39}"/>
    <cellStyle name="40% - Accent6 3 4 3" xfId="5424" xr:uid="{00000000-0005-0000-0000-00004E070000}"/>
    <cellStyle name="40% - Accent6 3 4 3 2" xfId="13874" xr:uid="{7745971D-A477-4C85-8279-B5E20C02CC88}"/>
    <cellStyle name="40% - Accent6 3 4 3 3" xfId="22314" xr:uid="{46E1C14D-A393-4E0C-8776-C3E7BFE57648}"/>
    <cellStyle name="40% - Accent6 3 4 4" xfId="9656" xr:uid="{9C7ED2C8-9DFA-42D9-BF47-E376CB8FCCD7}"/>
    <cellStyle name="40% - Accent6 3 4 5" xfId="18097" xr:uid="{C930D447-56E0-4DC6-943E-96B05DF298A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4661BF1E-1E91-4B1D-92A9-EDB0CB13E2EC}"/>
    <cellStyle name="40% - Accent6 3 5 2 2 3" xfId="24872" xr:uid="{D83530BC-22F7-4CEC-B295-67D67BBF5B3A}"/>
    <cellStyle name="40% - Accent6 3 5 2 3" xfId="12214" xr:uid="{123FCE48-C655-4852-BF7D-B931325E310A}"/>
    <cellStyle name="40% - Accent6 3 5 2 4" xfId="20655" xr:uid="{330ED74E-FFE5-4262-BB32-38175027B8FB}"/>
    <cellStyle name="40% - Accent6 3 5 3" xfId="5837" xr:uid="{00000000-0005-0000-0000-000052070000}"/>
    <cellStyle name="40% - Accent6 3 5 3 2" xfId="14287" xr:uid="{CE20DD8F-8E84-4FC0-8A20-65A8F6B2AC25}"/>
    <cellStyle name="40% - Accent6 3 5 3 3" xfId="22727" xr:uid="{F13D9663-5A9E-4613-90D8-CCD630D0E99D}"/>
    <cellStyle name="40% - Accent6 3 5 4" xfId="10069" xr:uid="{920BF849-17A7-4A31-9EEC-2399F2161D35}"/>
    <cellStyle name="40% - Accent6 3 5 5" xfId="18510" xr:uid="{3F2F6CED-FCB3-4A05-909E-5297E6C3A004}"/>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81724454-3015-4908-A386-103D0A7B6809}"/>
    <cellStyle name="40% - Accent6 3 6 2 2 3" xfId="25285" xr:uid="{A8AA7B5F-3279-4C34-933A-5235416053A4}"/>
    <cellStyle name="40% - Accent6 3 6 2 3" xfId="12627" xr:uid="{93ED8280-C942-4279-A32D-8433EEFE97F9}"/>
    <cellStyle name="40% - Accent6 3 6 2 4" xfId="21068" xr:uid="{05D83E2B-9A5D-4875-BDA8-F6BA7A50235D}"/>
    <cellStyle name="40% - Accent6 3 6 3" xfId="6250" xr:uid="{00000000-0005-0000-0000-000056070000}"/>
    <cellStyle name="40% - Accent6 3 6 3 2" xfId="14700" xr:uid="{97C6EC3A-757B-4E4E-A0FB-49167DD2EE2E}"/>
    <cellStyle name="40% - Accent6 3 6 3 3" xfId="23140" xr:uid="{6007457C-E457-4A50-8FB3-311AA5A8F72A}"/>
    <cellStyle name="40% - Accent6 3 6 4" xfId="10482" xr:uid="{D67EA697-6C18-4AAC-82D6-49EBF4CF8A67}"/>
    <cellStyle name="40% - Accent6 3 6 5" xfId="18923" xr:uid="{94F82033-BFF4-4480-B6B9-04BABE0CFD94}"/>
    <cellStyle name="40% - Accent6 3 7" xfId="2357" xr:uid="{00000000-0005-0000-0000-000057070000}"/>
    <cellStyle name="40% - Accent6 3 7 2" xfId="6663" xr:uid="{00000000-0005-0000-0000-000058070000}"/>
    <cellStyle name="40% - Accent6 3 7 2 2" xfId="15113" xr:uid="{DCF86F88-22A1-4239-B6A2-EEA1C7F6FEB0}"/>
    <cellStyle name="40% - Accent6 3 7 2 3" xfId="23553" xr:uid="{FEE34B8C-BC91-4436-BA1D-BAA517E94847}"/>
    <cellStyle name="40% - Accent6 3 7 3" xfId="10895" xr:uid="{7CDD3A02-9520-41A0-89F6-E8F5FF6570A7}"/>
    <cellStyle name="40% - Accent6 3 7 4" xfId="19336" xr:uid="{719D4F59-11B3-40A6-9556-281BE268E8F9}"/>
    <cellStyle name="40% - Accent6 3 8" xfId="4597" xr:uid="{00000000-0005-0000-0000-000059070000}"/>
    <cellStyle name="40% - Accent6 3 8 2" xfId="13047" xr:uid="{AACB2E32-FA98-4189-AE2A-41DEFC8844B6}"/>
    <cellStyle name="40% - Accent6 3 8 3" xfId="21487" xr:uid="{19BCC19E-4B11-4394-BEC7-A0522294D550}"/>
    <cellStyle name="40% - Accent6 3 9" xfId="8829" xr:uid="{CCCB5C41-D7CA-409C-8FEA-E4062A2E3B0B}"/>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CCE1AE47-A06C-430F-80F1-624FA4EC3DDC}"/>
    <cellStyle name="40% - Accent6 4 2 2 2 3" xfId="24048" xr:uid="{5AB6AB88-564C-4F20-A174-A783D6898D93}"/>
    <cellStyle name="40% - Accent6 4 2 2 3" xfId="11390" xr:uid="{9B49D7BD-C807-48D0-9EE2-42014CED3DF1}"/>
    <cellStyle name="40% - Accent6 4 2 2 4" xfId="19831" xr:uid="{8A26D847-D447-46E9-84B6-FE6188BD24BD}"/>
    <cellStyle name="40% - Accent6 4 2 3" xfId="5013" xr:uid="{00000000-0005-0000-0000-00005E070000}"/>
    <cellStyle name="40% - Accent6 4 2 3 2" xfId="13463" xr:uid="{6067377C-8141-41B9-8AF3-374EE75C7053}"/>
    <cellStyle name="40% - Accent6 4 2 3 3" xfId="21903" xr:uid="{0C812C7D-C482-45B4-9C66-B323DDD1CA98}"/>
    <cellStyle name="40% - Accent6 4 2 4" xfId="9245" xr:uid="{0B878110-4A46-42D7-8809-573793EA5E1B}"/>
    <cellStyle name="40% - Accent6 4 2 5" xfId="17686" xr:uid="{A18B8C4C-27BE-437D-965A-E69B34C9DA55}"/>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4E144A6E-2ECB-4354-8CC6-C002B9F0B505}"/>
    <cellStyle name="40% - Accent6 4 3 2 2 3" xfId="24461" xr:uid="{095BDA32-FA36-4A4E-8E7A-B2531331A770}"/>
    <cellStyle name="40% - Accent6 4 3 2 3" xfId="11803" xr:uid="{3EE9AA33-9A6E-4A85-B827-B19FD6FDA45A}"/>
    <cellStyle name="40% - Accent6 4 3 2 4" xfId="20244" xr:uid="{636FCB98-2A1A-4B47-AE41-5D4C37263F2B}"/>
    <cellStyle name="40% - Accent6 4 3 3" xfId="5426" xr:uid="{00000000-0005-0000-0000-000062070000}"/>
    <cellStyle name="40% - Accent6 4 3 3 2" xfId="13876" xr:uid="{B4984F4B-03FC-4F72-98D5-18CE96DADA32}"/>
    <cellStyle name="40% - Accent6 4 3 3 3" xfId="22316" xr:uid="{B368FE92-4CCB-4A2F-B2AF-CBE1DC3F1A1E}"/>
    <cellStyle name="40% - Accent6 4 3 4" xfId="9658" xr:uid="{F8349036-7641-46E8-8A81-36EC44805B73}"/>
    <cellStyle name="40% - Accent6 4 3 5" xfId="18099" xr:uid="{4206C634-A074-4F90-B164-72E184AF2AD0}"/>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F5EB524B-2D0E-4D58-B2A9-841A21191828}"/>
    <cellStyle name="40% - Accent6 4 4 2 2 3" xfId="24874" xr:uid="{60A48074-8163-49B3-A933-6CBFD300E75B}"/>
    <cellStyle name="40% - Accent6 4 4 2 3" xfId="12216" xr:uid="{2F2C41ED-3BC6-4E96-ABE4-F6D2466D5CB4}"/>
    <cellStyle name="40% - Accent6 4 4 2 4" xfId="20657" xr:uid="{3F52BA5D-6B86-41A2-9E7C-377AAE720B1E}"/>
    <cellStyle name="40% - Accent6 4 4 3" xfId="5839" xr:uid="{00000000-0005-0000-0000-000066070000}"/>
    <cellStyle name="40% - Accent6 4 4 3 2" xfId="14289" xr:uid="{0CBBF550-440C-4529-865E-A60828E1465A}"/>
    <cellStyle name="40% - Accent6 4 4 3 3" xfId="22729" xr:uid="{53D53286-254D-41FB-AC38-C72BCB97D363}"/>
    <cellStyle name="40% - Accent6 4 4 4" xfId="10071" xr:uid="{F9460627-3147-4793-8CFB-8668055E2783}"/>
    <cellStyle name="40% - Accent6 4 4 5" xfId="18512" xr:uid="{A0B979D9-1A11-4125-9B47-4460BCE01040}"/>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3A7A6638-76F3-425E-9EED-0413F66B875E}"/>
    <cellStyle name="40% - Accent6 4 5 2 2 3" xfId="25287" xr:uid="{22817444-FB22-42EB-BFE4-00FBDC05E758}"/>
    <cellStyle name="40% - Accent6 4 5 2 3" xfId="12629" xr:uid="{951998FB-8A29-4B0C-96E9-8027C37CEB64}"/>
    <cellStyle name="40% - Accent6 4 5 2 4" xfId="21070" xr:uid="{7ACC0F09-4E4D-4C8D-BD0B-F5107C0D17BB}"/>
    <cellStyle name="40% - Accent6 4 5 3" xfId="6252" xr:uid="{00000000-0005-0000-0000-00006A070000}"/>
    <cellStyle name="40% - Accent6 4 5 3 2" xfId="14702" xr:uid="{6A2D228F-1143-46DE-9436-3B575E32B93A}"/>
    <cellStyle name="40% - Accent6 4 5 3 3" xfId="23142" xr:uid="{36DA731A-AFC6-4A59-87D6-01EEFA5FB4E2}"/>
    <cellStyle name="40% - Accent6 4 5 4" xfId="10484" xr:uid="{4E72F54D-3A30-43D6-9B8A-56FA52B3DB29}"/>
    <cellStyle name="40% - Accent6 4 5 5" xfId="18925" xr:uid="{4359A4E0-7EE8-44BD-82F4-43D76609FB45}"/>
    <cellStyle name="40% - Accent6 4 6" xfId="2359" xr:uid="{00000000-0005-0000-0000-00006B070000}"/>
    <cellStyle name="40% - Accent6 4 6 2" xfId="6665" xr:uid="{00000000-0005-0000-0000-00006C070000}"/>
    <cellStyle name="40% - Accent6 4 6 2 2" xfId="15115" xr:uid="{D80088C2-4D2E-43FA-9F41-1402DFE4A04C}"/>
    <cellStyle name="40% - Accent6 4 6 2 3" xfId="23555" xr:uid="{915F7454-1718-46B7-AAD1-DEDD90E8DCE5}"/>
    <cellStyle name="40% - Accent6 4 6 3" xfId="10897" xr:uid="{7D441188-F8F8-4E0E-9382-E4177846A297}"/>
    <cellStyle name="40% - Accent6 4 6 4" xfId="19338" xr:uid="{2A2F2C94-FEF1-4E3F-8DDD-1238860135B0}"/>
    <cellStyle name="40% - Accent6 4 7" xfId="4599" xr:uid="{00000000-0005-0000-0000-00006D070000}"/>
    <cellStyle name="40% - Accent6 4 7 2" xfId="13049" xr:uid="{DFDA1B60-633D-4A07-8EC8-F3A6AB464B54}"/>
    <cellStyle name="40% - Accent6 4 7 3" xfId="21489" xr:uid="{89E71ABF-E661-4D9D-AB34-82573CBA4397}"/>
    <cellStyle name="40% - Accent6 4 8" xfId="8831" xr:uid="{F47F03B2-0608-4DC2-95D3-8D82D0178172}"/>
    <cellStyle name="40% - Accent6 4 9" xfId="17272" xr:uid="{7FAF160E-9491-48D8-BEEA-09AF130C08F8}"/>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B81A4C66-928B-46A0-B72E-333F9CE87487}"/>
    <cellStyle name="40% - Accent6 5 2 2 3" xfId="24041" xr:uid="{EB08B93E-93E5-4914-A85E-88DF68544C19}"/>
    <cellStyle name="40% - Accent6 5 2 3" xfId="11383" xr:uid="{B149D2CC-E9CE-49F1-B6FC-C23E556617BC}"/>
    <cellStyle name="40% - Accent6 5 2 4" xfId="19824" xr:uid="{D5BBA41B-3D91-4D9A-837C-A7D68582975C}"/>
    <cellStyle name="40% - Accent6 5 3" xfId="5006" xr:uid="{00000000-0005-0000-0000-000071070000}"/>
    <cellStyle name="40% - Accent6 5 3 2" xfId="13456" xr:uid="{D61EF72E-EDDA-4ABF-92B1-6C468E6362ED}"/>
    <cellStyle name="40% - Accent6 5 3 3" xfId="21896" xr:uid="{AAFEF159-ECC9-46B2-90AD-40B1C0C3EDCD}"/>
    <cellStyle name="40% - Accent6 5 4" xfId="9238" xr:uid="{2045F8DF-72B6-44BF-89B5-3DF74F7373BC}"/>
    <cellStyle name="40% - Accent6 5 5" xfId="17679" xr:uid="{F8ADBA8C-372F-4489-BEDD-1CDFD11B0520}"/>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AEDDD0EA-E51E-460D-80F6-4EBF99EEB80C}"/>
    <cellStyle name="40% - Accent6 6 2 2 3" xfId="24454" xr:uid="{3D24C498-0C46-4386-B02A-BDECC9DB888D}"/>
    <cellStyle name="40% - Accent6 6 2 3" xfId="11796" xr:uid="{390F1C47-94F5-4D90-8225-0DF82E200900}"/>
    <cellStyle name="40% - Accent6 6 2 4" xfId="20237" xr:uid="{AC79A817-B5CB-4B65-A200-2CCA6A063E60}"/>
    <cellStyle name="40% - Accent6 6 3" xfId="5419" xr:uid="{00000000-0005-0000-0000-000075070000}"/>
    <cellStyle name="40% - Accent6 6 3 2" xfId="13869" xr:uid="{10F7CD17-7E77-47EA-A578-B8100FCA685C}"/>
    <cellStyle name="40% - Accent6 6 3 3" xfId="22309" xr:uid="{63E0C32D-D67A-42E5-AD65-15F550CF3E72}"/>
    <cellStyle name="40% - Accent6 6 4" xfId="9651" xr:uid="{85021F48-D2B0-42BB-8524-77620B0A187D}"/>
    <cellStyle name="40% - Accent6 6 5" xfId="18092" xr:uid="{D220D8D6-CD0E-430F-AC61-21D43F84B760}"/>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A07A591F-E4EE-49F3-8339-9E19349BF734}"/>
    <cellStyle name="40% - Accent6 7 2 2 3" xfId="24867" xr:uid="{FE578E52-03D8-4FB1-9012-9277ABA498E3}"/>
    <cellStyle name="40% - Accent6 7 2 3" xfId="12209" xr:uid="{203F0401-C97C-4AA6-A5D9-71BD86CAC838}"/>
    <cellStyle name="40% - Accent6 7 2 4" xfId="20650" xr:uid="{9285253E-6A94-4C88-BCDC-2B53403EC07C}"/>
    <cellStyle name="40% - Accent6 7 3" xfId="5832" xr:uid="{00000000-0005-0000-0000-000079070000}"/>
    <cellStyle name="40% - Accent6 7 3 2" xfId="14282" xr:uid="{41E709BB-1054-4201-9F1B-53C8175469F4}"/>
    <cellStyle name="40% - Accent6 7 3 3" xfId="22722" xr:uid="{438CAB05-79B2-47FD-9C31-6D1E0AC2FC9B}"/>
    <cellStyle name="40% - Accent6 7 4" xfId="10064" xr:uid="{F4D9E28F-F752-4491-B6AE-2044ABFF9A24}"/>
    <cellStyle name="40% - Accent6 7 5" xfId="18505" xr:uid="{6FFC91C8-B1AB-4650-B13D-DAA842DE5B8C}"/>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B60EEB18-529D-4594-965C-ABA109396689}"/>
    <cellStyle name="40% - Accent6 8 2 2 3" xfId="25280" xr:uid="{60685CE3-51C8-468A-B4A3-658731653DE6}"/>
    <cellStyle name="40% - Accent6 8 2 3" xfId="12622" xr:uid="{EF5E6AA0-DE82-4BAD-84DA-DE49B4339328}"/>
    <cellStyle name="40% - Accent6 8 2 4" xfId="21063" xr:uid="{0F9C14B9-2555-4742-8AD8-563B20ED6DC2}"/>
    <cellStyle name="40% - Accent6 8 3" xfId="6245" xr:uid="{00000000-0005-0000-0000-00007D070000}"/>
    <cellStyle name="40% - Accent6 8 3 2" xfId="14695" xr:uid="{8BC55A11-A7A6-4C14-9900-6F49FC34D0AF}"/>
    <cellStyle name="40% - Accent6 8 3 3" xfId="23135" xr:uid="{83343496-C75C-4A77-B7CA-1A28039A26A0}"/>
    <cellStyle name="40% - Accent6 8 4" xfId="10477" xr:uid="{93037656-768E-4773-9BDB-C703CA96C9FC}"/>
    <cellStyle name="40% - Accent6 8 5" xfId="18918" xr:uid="{D45C5D57-6F5A-4C11-9F5A-CB8D26184BD9}"/>
    <cellStyle name="40% - Accent6 9" xfId="2352" xr:uid="{00000000-0005-0000-0000-00007E070000}"/>
    <cellStyle name="40% - Accent6 9 2" xfId="6658" xr:uid="{00000000-0005-0000-0000-00007F070000}"/>
    <cellStyle name="40% - Accent6 9 2 2" xfId="15108" xr:uid="{98F90619-E68B-4647-95CA-E436E7D9DCC3}"/>
    <cellStyle name="40% - Accent6 9 2 3" xfId="23548" xr:uid="{30BA85A0-554E-4F5F-A2A7-3F53B332D8A4}"/>
    <cellStyle name="40% - Accent6 9 3" xfId="10890" xr:uid="{EBD17F9C-51CF-4E6C-A3C5-F76512CE3CEF}"/>
    <cellStyle name="40% - Accent6 9 4" xfId="19331" xr:uid="{6E7EEB62-B341-4301-B96B-E99D0269431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6B0C26C9-0333-42EB-98F7-E2BE6C658AC9}"/>
    <cellStyle name="Comma 4 2 2 2 10 2 3" xfId="23873" xr:uid="{40974133-D307-4402-B30B-BC1FCBABA479}"/>
    <cellStyle name="Comma 4 2 2 2 10 3" xfId="11215" xr:uid="{32534CAB-6128-4271-8CF5-1070F1D1203D}"/>
    <cellStyle name="Comma 4 2 2 2 10 4" xfId="19656" xr:uid="{AED62345-820C-40BA-89F3-085B663925FC}"/>
    <cellStyle name="Comma 4 2 2 2 11" xfId="4600" xr:uid="{00000000-0005-0000-0000-0000A3070000}"/>
    <cellStyle name="Comma 4 2 2 2 11 2" xfId="13050" xr:uid="{72626DF1-A170-4420-ACBF-EC3D61B339C8}"/>
    <cellStyle name="Comma 4 2 2 2 11 3" xfId="21490" xr:uid="{A16B98F3-52BD-4DBB-9CCE-8CDDA47D53A4}"/>
    <cellStyle name="Comma 4 2 2 2 12" xfId="8832" xr:uid="{3E6A863E-5302-4EFA-B478-0E2E9A4D6169}"/>
    <cellStyle name="Comma 4 2 2 2 13" xfId="17273" xr:uid="{B99486C0-7D96-4679-9997-360D5A8071BE}"/>
    <cellStyle name="Comma 4 2 2 2 2" xfId="129" xr:uid="{00000000-0005-0000-0000-0000A4070000}"/>
    <cellStyle name="Comma 4 2 2 2 2 10" xfId="4601" xr:uid="{00000000-0005-0000-0000-0000A5070000}"/>
    <cellStyle name="Comma 4 2 2 2 2 10 2" xfId="13051" xr:uid="{9F48FC25-315A-4ACC-808F-A616276CC5C8}"/>
    <cellStyle name="Comma 4 2 2 2 2 10 3" xfId="21491" xr:uid="{8777A888-F845-44AF-922F-F2AAA950D931}"/>
    <cellStyle name="Comma 4 2 2 2 2 11" xfId="8833" xr:uid="{FD88D429-BAEF-43E5-A5AE-65254CA1CD60}"/>
    <cellStyle name="Comma 4 2 2 2 2 12" xfId="17274" xr:uid="{893F5A9A-F8ED-4A73-B29D-BF506DCE0514}"/>
    <cellStyle name="Comma 4 2 2 2 2 2" xfId="130" xr:uid="{00000000-0005-0000-0000-0000A6070000}"/>
    <cellStyle name="Comma 4 2 2 2 2 2 10" xfId="8834" xr:uid="{08E49486-99DB-4B72-9E02-EAA2F6728510}"/>
    <cellStyle name="Comma 4 2 2 2 2 2 11" xfId="17275" xr:uid="{0DE54866-F71C-47F6-9F25-090D385E8D92}"/>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581FD8ED-22A7-4A34-87B3-714CC91EB4E4}"/>
    <cellStyle name="Comma 4 2 2 2 2 2 2 2 2 3" xfId="24051" xr:uid="{846A5A82-703F-4BFE-AAF5-9FD1B270EBE4}"/>
    <cellStyle name="Comma 4 2 2 2 2 2 2 2 3" xfId="11393" xr:uid="{47942381-C423-4FDD-81C7-47D209AC9808}"/>
    <cellStyle name="Comma 4 2 2 2 2 2 2 2 4" xfId="19834" xr:uid="{9699258D-C46D-4484-A260-5A0BC6D48573}"/>
    <cellStyle name="Comma 4 2 2 2 2 2 2 3" xfId="5016" xr:uid="{00000000-0005-0000-0000-0000AA070000}"/>
    <cellStyle name="Comma 4 2 2 2 2 2 2 3 2" xfId="13466" xr:uid="{ACFDB5A7-C172-4AFD-BB83-8E2A4C6F3232}"/>
    <cellStyle name="Comma 4 2 2 2 2 2 2 3 3" xfId="21906" xr:uid="{AF81C0FF-05FA-4CFD-93A7-DB561EA4FE65}"/>
    <cellStyle name="Comma 4 2 2 2 2 2 2 4" xfId="9248" xr:uid="{0B9885E8-9575-4E65-B3A7-4D15C52FED3D}"/>
    <cellStyle name="Comma 4 2 2 2 2 2 2 5" xfId="17689" xr:uid="{E8567F84-E84E-46BA-9DE0-87FF0727D3A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E0ED8C4C-28B9-4967-A5C5-37A96FCCD41A}"/>
    <cellStyle name="Comma 4 2 2 2 2 2 3 2 2 3" xfId="24464" xr:uid="{56A67424-5D03-491A-B54C-DD3157E154A1}"/>
    <cellStyle name="Comma 4 2 2 2 2 2 3 2 3" xfId="11806" xr:uid="{BB403B91-42AE-405C-86C1-409AB3269ECD}"/>
    <cellStyle name="Comma 4 2 2 2 2 2 3 2 4" xfId="20247" xr:uid="{130B9F1E-CE30-48E2-A655-D428FB1FC502}"/>
    <cellStyle name="Comma 4 2 2 2 2 2 3 3" xfId="5429" xr:uid="{00000000-0005-0000-0000-0000AE070000}"/>
    <cellStyle name="Comma 4 2 2 2 2 2 3 3 2" xfId="13879" xr:uid="{38AA6E4D-00EA-48F1-BB26-F392046D8CFD}"/>
    <cellStyle name="Comma 4 2 2 2 2 2 3 3 3" xfId="22319" xr:uid="{300CB8F7-B86E-41D8-9E8A-77782E6174F8}"/>
    <cellStyle name="Comma 4 2 2 2 2 2 3 4" xfId="9661" xr:uid="{AD4B2719-F1A4-49B8-A22C-920F2EAA0AD2}"/>
    <cellStyle name="Comma 4 2 2 2 2 2 3 5" xfId="18102" xr:uid="{433D8B04-0A11-42B2-AD23-EDA27ACBE2C9}"/>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B675AE22-9D1C-402D-B318-84C22DAEC3AC}"/>
    <cellStyle name="Comma 4 2 2 2 2 2 4 2 2 3" xfId="24877" xr:uid="{1218D9C6-6A8B-4035-BB5A-EC2CC24E7E19}"/>
    <cellStyle name="Comma 4 2 2 2 2 2 4 2 3" xfId="12219" xr:uid="{16C7A1E8-1527-440A-B8C8-A92013E2DACA}"/>
    <cellStyle name="Comma 4 2 2 2 2 2 4 2 4" xfId="20660" xr:uid="{94692FE3-BE92-489F-852D-1393E89BCD53}"/>
    <cellStyle name="Comma 4 2 2 2 2 2 4 3" xfId="5842" xr:uid="{00000000-0005-0000-0000-0000B2070000}"/>
    <cellStyle name="Comma 4 2 2 2 2 2 4 3 2" xfId="14292" xr:uid="{1171AFEA-BD07-42B6-87E6-F5166ADF4F0D}"/>
    <cellStyle name="Comma 4 2 2 2 2 2 4 3 3" xfId="22732" xr:uid="{F81D9BB2-86DE-442A-8F41-F6853EA829D6}"/>
    <cellStyle name="Comma 4 2 2 2 2 2 4 4" xfId="10074" xr:uid="{4CE6830B-B9D8-4AEE-BBBD-B7DEE7297135}"/>
    <cellStyle name="Comma 4 2 2 2 2 2 4 5" xfId="18515" xr:uid="{0C073D11-E4A2-49AD-8383-7E3CB6D7CD4A}"/>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FBF6CEF3-F3E0-4EC1-8E99-EF8062258D3A}"/>
    <cellStyle name="Comma 4 2 2 2 2 2 5 2 2 3" xfId="25290" xr:uid="{70EFD55E-8A87-445D-BD45-CABD5F043E11}"/>
    <cellStyle name="Comma 4 2 2 2 2 2 5 2 3" xfId="12632" xr:uid="{AF7A75EC-F333-4A42-A478-F4D8F368889C}"/>
    <cellStyle name="Comma 4 2 2 2 2 2 5 2 4" xfId="21073" xr:uid="{71815518-CDD2-4D15-9526-5BE49446794A}"/>
    <cellStyle name="Comma 4 2 2 2 2 2 5 3" xfId="6255" xr:uid="{00000000-0005-0000-0000-0000B6070000}"/>
    <cellStyle name="Comma 4 2 2 2 2 2 5 3 2" xfId="14705" xr:uid="{649F6D74-5A24-42E6-A910-AE957A23E006}"/>
    <cellStyle name="Comma 4 2 2 2 2 2 5 3 3" xfId="23145" xr:uid="{BE6F7269-C7F8-4024-AE62-CBEDB0A4EEF9}"/>
    <cellStyle name="Comma 4 2 2 2 2 2 5 4" xfId="10487" xr:uid="{37E66F1A-E132-4B06-80EB-88FFD967EA39}"/>
    <cellStyle name="Comma 4 2 2 2 2 2 5 5" xfId="18928" xr:uid="{86D16DD9-2C06-4811-8F84-44996829CA93}"/>
    <cellStyle name="Comma 4 2 2 2 2 2 6" xfId="2384" xr:uid="{00000000-0005-0000-0000-0000B7070000}"/>
    <cellStyle name="Comma 4 2 2 2 2 2 6 2" xfId="6668" xr:uid="{00000000-0005-0000-0000-0000B8070000}"/>
    <cellStyle name="Comma 4 2 2 2 2 2 6 2 2" xfId="15118" xr:uid="{CE29BAE8-4789-47AA-ADD8-9B309646D0D1}"/>
    <cellStyle name="Comma 4 2 2 2 2 2 6 2 3" xfId="23558" xr:uid="{7076E7DA-E764-4E87-BF14-CD3BF5172F61}"/>
    <cellStyle name="Comma 4 2 2 2 2 2 6 3" xfId="10900" xr:uid="{013BF48C-81D5-41DD-8B23-22A09F920721}"/>
    <cellStyle name="Comma 4 2 2 2 2 2 6 4" xfId="19341" xr:uid="{7B44F1CB-6530-46A1-82CD-063B98B8D965}"/>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E26768ED-42F5-4132-9F32-8CA33B8596D8}"/>
    <cellStyle name="Comma 4 2 2 2 2 2 8 2 3" xfId="23875" xr:uid="{73B6DA9A-671A-4D3D-B283-BFC793FDC20A}"/>
    <cellStyle name="Comma 4 2 2 2 2 2 8 3" xfId="11217" xr:uid="{F5D3C2DD-B917-4964-BBA4-336DCCDF2E11}"/>
    <cellStyle name="Comma 4 2 2 2 2 2 8 4" xfId="19658" xr:uid="{169E3272-4E45-4517-857A-4096DAE3D42F}"/>
    <cellStyle name="Comma 4 2 2 2 2 2 9" xfId="4602" xr:uid="{00000000-0005-0000-0000-0000BC070000}"/>
    <cellStyle name="Comma 4 2 2 2 2 2 9 2" xfId="13052" xr:uid="{57BF3E51-58C0-4D37-8C67-EA3E5505A0B2}"/>
    <cellStyle name="Comma 4 2 2 2 2 2 9 3" xfId="21492" xr:uid="{F4884AA6-BADC-48F9-8BD5-35A586793C5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0B4A908D-B53B-489C-9944-26F04B9F4349}"/>
    <cellStyle name="Comma 4 2 2 2 2 3 2 2 3" xfId="24050" xr:uid="{6C510579-882A-4DE0-8CC0-E639AB2E85CD}"/>
    <cellStyle name="Comma 4 2 2 2 2 3 2 3" xfId="11392" xr:uid="{2E68D267-A704-4945-93B5-CD5FCD9847CC}"/>
    <cellStyle name="Comma 4 2 2 2 2 3 2 4" xfId="19833" xr:uid="{6B7F02DB-2E48-4222-A6E1-10EF47819469}"/>
    <cellStyle name="Comma 4 2 2 2 2 3 3" xfId="5015" xr:uid="{00000000-0005-0000-0000-0000C0070000}"/>
    <cellStyle name="Comma 4 2 2 2 2 3 3 2" xfId="13465" xr:uid="{2A904160-5168-4E72-B4F1-AB4D6DD62C1F}"/>
    <cellStyle name="Comma 4 2 2 2 2 3 3 3" xfId="21905" xr:uid="{B9484A76-C016-48B1-AC84-96758A1DD5FC}"/>
    <cellStyle name="Comma 4 2 2 2 2 3 4" xfId="9247" xr:uid="{A15BB8C9-6B8D-46DF-84F5-F9D95610C7C3}"/>
    <cellStyle name="Comma 4 2 2 2 2 3 5" xfId="17688" xr:uid="{EF26112F-0D7D-454F-A40E-03FD4E544D3A}"/>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C4773560-6B58-4E34-8ED3-7F2CEB273B74}"/>
    <cellStyle name="Comma 4 2 2 2 2 4 2 2 3" xfId="24463" xr:uid="{D3220900-2C32-4C7C-B78A-F22B9A00DB96}"/>
    <cellStyle name="Comma 4 2 2 2 2 4 2 3" xfId="11805" xr:uid="{8B7F8EC9-F984-41B8-BEB8-3BBC0B336368}"/>
    <cellStyle name="Comma 4 2 2 2 2 4 2 4" xfId="20246" xr:uid="{3B6EED5B-39B7-4426-91A5-3A90C5CF2B57}"/>
    <cellStyle name="Comma 4 2 2 2 2 4 3" xfId="5428" xr:uid="{00000000-0005-0000-0000-0000C4070000}"/>
    <cellStyle name="Comma 4 2 2 2 2 4 3 2" xfId="13878" xr:uid="{81076164-9859-4F73-B6A1-7B87752E2BA7}"/>
    <cellStyle name="Comma 4 2 2 2 2 4 3 3" xfId="22318" xr:uid="{D0C260E1-5A94-4361-A19F-852ABFEC1F1B}"/>
    <cellStyle name="Comma 4 2 2 2 2 4 4" xfId="9660" xr:uid="{766D8323-33D6-4CB7-8C1F-A945ABFBCA01}"/>
    <cellStyle name="Comma 4 2 2 2 2 4 5" xfId="18101" xr:uid="{AE88D740-0A9C-415E-8F96-B29EA63821F4}"/>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DE031208-F605-4BD4-BE3A-D291CCFB5F59}"/>
    <cellStyle name="Comma 4 2 2 2 2 5 2 2 3" xfId="24876" xr:uid="{966D4975-6AF0-4229-98BA-6682170E6D09}"/>
    <cellStyle name="Comma 4 2 2 2 2 5 2 3" xfId="12218" xr:uid="{F7707E88-C0A5-4919-9174-5CC2C5FD6D6C}"/>
    <cellStyle name="Comma 4 2 2 2 2 5 2 4" xfId="20659" xr:uid="{1126E0F8-CE62-445E-9B1D-FAE37D9AC06A}"/>
    <cellStyle name="Comma 4 2 2 2 2 5 3" xfId="5841" xr:uid="{00000000-0005-0000-0000-0000C8070000}"/>
    <cellStyle name="Comma 4 2 2 2 2 5 3 2" xfId="14291" xr:uid="{36853611-CFA0-4349-B095-59BBC7E7578A}"/>
    <cellStyle name="Comma 4 2 2 2 2 5 3 3" xfId="22731" xr:uid="{5CC4D01B-EC0E-437B-BABC-CE48C24DF276}"/>
    <cellStyle name="Comma 4 2 2 2 2 5 4" xfId="10073" xr:uid="{5B7E5BDD-8F68-42CD-B8EF-D37FAEF8CEF4}"/>
    <cellStyle name="Comma 4 2 2 2 2 5 5" xfId="18514" xr:uid="{E0108436-F467-4223-A87F-960037592808}"/>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C043207F-6CCC-4739-A485-E377DA39858F}"/>
    <cellStyle name="Comma 4 2 2 2 2 6 2 2 3" xfId="25289" xr:uid="{E0CFB693-33D0-4D07-9A6D-89F01F765167}"/>
    <cellStyle name="Comma 4 2 2 2 2 6 2 3" xfId="12631" xr:uid="{2C6CE01C-4067-4865-9984-29786B39DC61}"/>
    <cellStyle name="Comma 4 2 2 2 2 6 2 4" xfId="21072" xr:uid="{F047732D-B88E-4684-A312-8BC71540E455}"/>
    <cellStyle name="Comma 4 2 2 2 2 6 3" xfId="6254" xr:uid="{00000000-0005-0000-0000-0000CC070000}"/>
    <cellStyle name="Comma 4 2 2 2 2 6 3 2" xfId="14704" xr:uid="{2DB0BC33-255D-4DE8-B6E2-47D2E9BBAD17}"/>
    <cellStyle name="Comma 4 2 2 2 2 6 3 3" xfId="23144" xr:uid="{788ACD4A-4110-429A-9FA5-E0121E457FF2}"/>
    <cellStyle name="Comma 4 2 2 2 2 6 4" xfId="10486" xr:uid="{89110BAE-9CC4-4AE7-9BC9-04A77942D061}"/>
    <cellStyle name="Comma 4 2 2 2 2 6 5" xfId="18927" xr:uid="{BACC9E01-3562-4C07-8DED-D4B298FD1661}"/>
    <cellStyle name="Comma 4 2 2 2 2 7" xfId="2383" xr:uid="{00000000-0005-0000-0000-0000CD070000}"/>
    <cellStyle name="Comma 4 2 2 2 2 7 2" xfId="6667" xr:uid="{00000000-0005-0000-0000-0000CE070000}"/>
    <cellStyle name="Comma 4 2 2 2 2 7 2 2" xfId="15117" xr:uid="{62DE26BE-A1F5-4CAE-A34F-288BD1ACEF92}"/>
    <cellStyle name="Comma 4 2 2 2 2 7 2 3" xfId="23557" xr:uid="{AE8B4130-441D-4D4B-A9D8-D8CDE48501A4}"/>
    <cellStyle name="Comma 4 2 2 2 2 7 3" xfId="10899" xr:uid="{3BD3031C-7111-480A-ABBA-AEA18DAE5655}"/>
    <cellStyle name="Comma 4 2 2 2 2 7 4" xfId="19340" xr:uid="{D36E066E-A2F1-48C2-B5F2-89137C2C4090}"/>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572602D9-0747-4BEF-B954-4405F62B460A}"/>
    <cellStyle name="Comma 4 2 2 2 2 9 2 3" xfId="23874" xr:uid="{32C66048-8C98-4921-9927-5A31E88AF0C9}"/>
    <cellStyle name="Comma 4 2 2 2 2 9 3" xfId="11216" xr:uid="{1A288CF8-DAF2-427A-8006-8673B29AD836}"/>
    <cellStyle name="Comma 4 2 2 2 2 9 4" xfId="19657" xr:uid="{52C84093-D0FC-43C5-9064-F39517C5AA3A}"/>
    <cellStyle name="Comma 4 2 2 2 3" xfId="131" xr:uid="{00000000-0005-0000-0000-0000D2070000}"/>
    <cellStyle name="Comma 4 2 2 2 3 10" xfId="8835" xr:uid="{CF924FD0-271F-4E62-8355-D325254C2877}"/>
    <cellStyle name="Comma 4 2 2 2 3 11" xfId="17276" xr:uid="{623781DB-AE22-4DBA-BC96-A3E9DBF530E9}"/>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667ED855-B4A2-46A0-A477-900241524B78}"/>
    <cellStyle name="Comma 4 2 2 2 3 2 2 2 3" xfId="24052" xr:uid="{B8DDD7F5-4B8D-417D-9915-D4052CD36765}"/>
    <cellStyle name="Comma 4 2 2 2 3 2 2 3" xfId="11394" xr:uid="{D2AE320D-36F2-4E44-BBD8-08B847D36E3F}"/>
    <cellStyle name="Comma 4 2 2 2 3 2 2 4" xfId="19835" xr:uid="{02DC3BC2-E12D-41D3-BB60-FB84088F2215}"/>
    <cellStyle name="Comma 4 2 2 2 3 2 3" xfId="5017" xr:uid="{00000000-0005-0000-0000-0000D6070000}"/>
    <cellStyle name="Comma 4 2 2 2 3 2 3 2" xfId="13467" xr:uid="{73483652-F0FE-4747-9889-80D30DEF5EC0}"/>
    <cellStyle name="Comma 4 2 2 2 3 2 3 3" xfId="21907" xr:uid="{D53ABE33-66F2-4FD6-B047-94E4ED103BCF}"/>
    <cellStyle name="Comma 4 2 2 2 3 2 4" xfId="9249" xr:uid="{799892DE-E3ED-4BAE-86AD-5D3C409BB850}"/>
    <cellStyle name="Comma 4 2 2 2 3 2 5" xfId="17690" xr:uid="{F2147BEA-A11C-4B10-B5EC-3BF0F935C3C7}"/>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2BC44455-0754-4D25-934D-1F01422778C5}"/>
    <cellStyle name="Comma 4 2 2 2 3 3 2 2 3" xfId="24465" xr:uid="{0D76ECD9-1367-4B22-8C46-412B0A1A58B8}"/>
    <cellStyle name="Comma 4 2 2 2 3 3 2 3" xfId="11807" xr:uid="{1E7E7742-FE74-45EA-A6B3-9EE797333752}"/>
    <cellStyle name="Comma 4 2 2 2 3 3 2 4" xfId="20248" xr:uid="{F9E72F32-3752-4B4B-AE20-75BDC92A92D1}"/>
    <cellStyle name="Comma 4 2 2 2 3 3 3" xfId="5430" xr:uid="{00000000-0005-0000-0000-0000DA070000}"/>
    <cellStyle name="Comma 4 2 2 2 3 3 3 2" xfId="13880" xr:uid="{B954284F-0D17-407C-AAD6-B446DCD407B6}"/>
    <cellStyle name="Comma 4 2 2 2 3 3 3 3" xfId="22320" xr:uid="{D75DD912-9E57-47CD-9557-F9E306C83646}"/>
    <cellStyle name="Comma 4 2 2 2 3 3 4" xfId="9662" xr:uid="{00ACADE1-AAC1-4B5C-8EFA-8F96F879B80E}"/>
    <cellStyle name="Comma 4 2 2 2 3 3 5" xfId="18103" xr:uid="{635FF633-B68A-430C-BA84-5932C08D29C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B40BFC8E-3053-43DB-B857-EB0A5DD1910B}"/>
    <cellStyle name="Comma 4 2 2 2 3 4 2 2 3" xfId="24878" xr:uid="{67ED8C52-A498-4FA3-87C2-7A877FECD72C}"/>
    <cellStyle name="Comma 4 2 2 2 3 4 2 3" xfId="12220" xr:uid="{88DCA12F-5206-4C8F-97C3-516F5E5F9EC8}"/>
    <cellStyle name="Comma 4 2 2 2 3 4 2 4" xfId="20661" xr:uid="{89D2F042-288C-4865-9DDC-23A8EB059BA6}"/>
    <cellStyle name="Comma 4 2 2 2 3 4 3" xfId="5843" xr:uid="{00000000-0005-0000-0000-0000DE070000}"/>
    <cellStyle name="Comma 4 2 2 2 3 4 3 2" xfId="14293" xr:uid="{D8C7013D-8A09-4B7D-8C0D-26BF91D62F99}"/>
    <cellStyle name="Comma 4 2 2 2 3 4 3 3" xfId="22733" xr:uid="{331020A7-7248-4D44-A10D-3A6DCEC1A8BC}"/>
    <cellStyle name="Comma 4 2 2 2 3 4 4" xfId="10075" xr:uid="{7C09B0EF-7EC1-4026-BBD0-F1D0E8253E2A}"/>
    <cellStyle name="Comma 4 2 2 2 3 4 5" xfId="18516" xr:uid="{FE7FC197-1617-4CC4-A6DB-78E7D9735908}"/>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CF608C8A-8FB1-4BA2-87EE-34088DCD7E86}"/>
    <cellStyle name="Comma 4 2 2 2 3 5 2 2 3" xfId="25291" xr:uid="{62DF50A5-8767-4F90-800B-44BD0DB9C309}"/>
    <cellStyle name="Comma 4 2 2 2 3 5 2 3" xfId="12633" xr:uid="{D5982454-1344-4A73-886C-1E3F35EC9E37}"/>
    <cellStyle name="Comma 4 2 2 2 3 5 2 4" xfId="21074" xr:uid="{AE801042-66E7-4D41-AF16-8748A458AE6D}"/>
    <cellStyle name="Comma 4 2 2 2 3 5 3" xfId="6256" xr:uid="{00000000-0005-0000-0000-0000E2070000}"/>
    <cellStyle name="Comma 4 2 2 2 3 5 3 2" xfId="14706" xr:uid="{56F0852B-04A5-4732-B056-C3F402B20BB0}"/>
    <cellStyle name="Comma 4 2 2 2 3 5 3 3" xfId="23146" xr:uid="{85F01624-A3CC-44D5-B375-51651EB82BA8}"/>
    <cellStyle name="Comma 4 2 2 2 3 5 4" xfId="10488" xr:uid="{33076EFD-D0BF-4CE0-9FDE-357679A6C705}"/>
    <cellStyle name="Comma 4 2 2 2 3 5 5" xfId="18929" xr:uid="{26CD7519-E635-4574-8C0D-7C3D9720DA61}"/>
    <cellStyle name="Comma 4 2 2 2 3 6" xfId="2385" xr:uid="{00000000-0005-0000-0000-0000E3070000}"/>
    <cellStyle name="Comma 4 2 2 2 3 6 2" xfId="6669" xr:uid="{00000000-0005-0000-0000-0000E4070000}"/>
    <cellStyle name="Comma 4 2 2 2 3 6 2 2" xfId="15119" xr:uid="{E305C84F-67AD-499C-90FE-F3EEE801A027}"/>
    <cellStyle name="Comma 4 2 2 2 3 6 2 3" xfId="23559" xr:uid="{3378AC92-7F26-4B9D-85D8-B053A59A3831}"/>
    <cellStyle name="Comma 4 2 2 2 3 6 3" xfId="10901" xr:uid="{F6A0960E-FA3D-4A50-B38A-C46B94053AB3}"/>
    <cellStyle name="Comma 4 2 2 2 3 6 4" xfId="19342" xr:uid="{8C9017DA-D0F1-410C-A62E-51EC7ACA6C7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228E61E8-C5D2-44E2-81BD-8CC06FE69E69}"/>
    <cellStyle name="Comma 4 2 2 2 3 8 2 3" xfId="23876" xr:uid="{ACC033C1-F96D-4501-9852-4A66C6AAE93C}"/>
    <cellStyle name="Comma 4 2 2 2 3 8 3" xfId="11218" xr:uid="{EB351877-443E-4383-9D32-CADE7EE2D77D}"/>
    <cellStyle name="Comma 4 2 2 2 3 8 4" xfId="19659" xr:uid="{E83EF0B1-ABDB-4913-8264-F648885176BA}"/>
    <cellStyle name="Comma 4 2 2 2 3 9" xfId="4603" xr:uid="{00000000-0005-0000-0000-0000E8070000}"/>
    <cellStyle name="Comma 4 2 2 2 3 9 2" xfId="13053" xr:uid="{5619CE9C-C5F9-478D-8796-ABC943D9D4F1}"/>
    <cellStyle name="Comma 4 2 2 2 3 9 3" xfId="21493" xr:uid="{9B46985C-65FA-463E-B3D5-951C9DFFEBCC}"/>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AD334C2B-A2ED-435B-9CD0-92F4CD2F9C74}"/>
    <cellStyle name="Comma 4 2 2 2 4 2 2 3" xfId="24049" xr:uid="{00551176-AA5E-4148-8158-75A92875B44E}"/>
    <cellStyle name="Comma 4 2 2 2 4 2 3" xfId="11391" xr:uid="{0BE6886D-0F01-4C50-A2A8-C42A57B3196E}"/>
    <cellStyle name="Comma 4 2 2 2 4 2 4" xfId="19832" xr:uid="{DA68B570-7B6D-4A4F-BDB6-9514E720230A}"/>
    <cellStyle name="Comma 4 2 2 2 4 3" xfId="5014" xr:uid="{00000000-0005-0000-0000-0000EC070000}"/>
    <cellStyle name="Comma 4 2 2 2 4 3 2" xfId="13464" xr:uid="{3CE3242C-AA3C-41E5-B73A-75DAA7BAF1FB}"/>
    <cellStyle name="Comma 4 2 2 2 4 3 3" xfId="21904" xr:uid="{FAA74DB2-309B-4637-B3DE-9D3C02AB1885}"/>
    <cellStyle name="Comma 4 2 2 2 4 4" xfId="9246" xr:uid="{CCFF11E0-FF59-455C-A4FE-4A4976E4647A}"/>
    <cellStyle name="Comma 4 2 2 2 4 5" xfId="17687" xr:uid="{92166AD4-A79A-4719-9CDB-3C5FFCEBA23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01C4D256-F421-41E8-AAC8-31EEA7C2B378}"/>
    <cellStyle name="Comma 4 2 2 2 5 2 2 3" xfId="24462" xr:uid="{3E4FF03B-FE78-468F-9C3F-08FA962D0B0C}"/>
    <cellStyle name="Comma 4 2 2 2 5 2 3" xfId="11804" xr:uid="{7B325043-6149-4982-BF40-D9517CB684FB}"/>
    <cellStyle name="Comma 4 2 2 2 5 2 4" xfId="20245" xr:uid="{66D7DDC8-12E9-4060-A5CD-6BE3E1D279B1}"/>
    <cellStyle name="Comma 4 2 2 2 5 3" xfId="5427" xr:uid="{00000000-0005-0000-0000-0000F0070000}"/>
    <cellStyle name="Comma 4 2 2 2 5 3 2" xfId="13877" xr:uid="{C27C43DA-8654-4A04-89E8-2AF85CD38B7F}"/>
    <cellStyle name="Comma 4 2 2 2 5 3 3" xfId="22317" xr:uid="{7FB12975-EF8E-4F75-813B-249ECCD070CE}"/>
    <cellStyle name="Comma 4 2 2 2 5 4" xfId="9659" xr:uid="{4C92FC93-BA77-4BA1-B086-DA9A8161647E}"/>
    <cellStyle name="Comma 4 2 2 2 5 5" xfId="18100" xr:uid="{6BE10DD0-6CAF-42B6-82FD-DFE7D633C1B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3B5E1424-1E49-412D-B5C2-19F9CB51F798}"/>
    <cellStyle name="Comma 4 2 2 2 6 2 2 3" xfId="24875" xr:uid="{F8B51EC0-D82D-48EC-9710-CE0824C4D5CD}"/>
    <cellStyle name="Comma 4 2 2 2 6 2 3" xfId="12217" xr:uid="{01ADA24C-AA7C-45CB-A869-3E9049D9869E}"/>
    <cellStyle name="Comma 4 2 2 2 6 2 4" xfId="20658" xr:uid="{2B36715C-4677-45F8-8C78-CEA60AC5AF48}"/>
    <cellStyle name="Comma 4 2 2 2 6 3" xfId="5840" xr:uid="{00000000-0005-0000-0000-0000F4070000}"/>
    <cellStyle name="Comma 4 2 2 2 6 3 2" xfId="14290" xr:uid="{D8E9F537-0419-4666-A29D-9D55ECD1B090}"/>
    <cellStyle name="Comma 4 2 2 2 6 3 3" xfId="22730" xr:uid="{11F2CE3F-BEBD-4082-A233-13FB7E207091}"/>
    <cellStyle name="Comma 4 2 2 2 6 4" xfId="10072" xr:uid="{B713BE6B-5591-46F1-8C2E-1FFF30A20F52}"/>
    <cellStyle name="Comma 4 2 2 2 6 5" xfId="18513" xr:uid="{314D1BAF-03DF-4F0E-841B-FE1D546D6E9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0EAA0E5B-1EA1-44C6-88A7-E127559AD499}"/>
    <cellStyle name="Comma 4 2 2 2 7 2 2 3" xfId="25288" xr:uid="{D5E4122D-73E9-4E96-8644-B3329284FEC3}"/>
    <cellStyle name="Comma 4 2 2 2 7 2 3" xfId="12630" xr:uid="{7B75D6CE-5432-419D-9942-A2FE5D0C48D4}"/>
    <cellStyle name="Comma 4 2 2 2 7 2 4" xfId="21071" xr:uid="{A2B38969-B61A-4320-9951-652016EB9549}"/>
    <cellStyle name="Comma 4 2 2 2 7 3" xfId="6253" xr:uid="{00000000-0005-0000-0000-0000F8070000}"/>
    <cellStyle name="Comma 4 2 2 2 7 3 2" xfId="14703" xr:uid="{CACA89E9-1B3F-4318-8A4D-C8142B066E9E}"/>
    <cellStyle name="Comma 4 2 2 2 7 3 3" xfId="23143" xr:uid="{627642D4-909D-47F2-AFAD-22540F2633D1}"/>
    <cellStyle name="Comma 4 2 2 2 7 4" xfId="10485" xr:uid="{B0C18796-6382-415B-A41F-92566C71228F}"/>
    <cellStyle name="Comma 4 2 2 2 7 5" xfId="18926" xr:uid="{17243B95-22FF-4E59-A5D9-F3453FEB2B98}"/>
    <cellStyle name="Comma 4 2 2 2 8" xfId="2382" xr:uid="{00000000-0005-0000-0000-0000F9070000}"/>
    <cellStyle name="Comma 4 2 2 2 8 2" xfId="6666" xr:uid="{00000000-0005-0000-0000-0000FA070000}"/>
    <cellStyle name="Comma 4 2 2 2 8 2 2" xfId="15116" xr:uid="{358FDE9A-B18F-4359-A51E-A14E358B7D71}"/>
    <cellStyle name="Comma 4 2 2 2 8 2 3" xfId="23556" xr:uid="{ECA33687-6802-4A85-9B31-3A939BEED9ED}"/>
    <cellStyle name="Comma 4 2 2 2 8 3" xfId="10898" xr:uid="{614356B3-144F-4C1E-B0F3-C191DBE8E722}"/>
    <cellStyle name="Comma 4 2 2 2 8 4" xfId="19339" xr:uid="{789EADD4-A1F5-43A6-8585-CB415723CDFA}"/>
    <cellStyle name="Comma 4 2 2 2 9" xfId="2381" xr:uid="{00000000-0005-0000-0000-0000FB070000}"/>
    <cellStyle name="Comma 4 2 2 3" xfId="132" xr:uid="{00000000-0005-0000-0000-0000FC070000}"/>
    <cellStyle name="Comma 4 2 2 3 10" xfId="4604" xr:uid="{00000000-0005-0000-0000-0000FD070000}"/>
    <cellStyle name="Comma 4 2 2 3 10 2" xfId="13054" xr:uid="{9A3CFF00-AF49-4ADD-B94E-121D6CEDD5B8}"/>
    <cellStyle name="Comma 4 2 2 3 10 3" xfId="21494" xr:uid="{95EA8E18-977B-4CF3-BC75-4315024B60D6}"/>
    <cellStyle name="Comma 4 2 2 3 11" xfId="8836" xr:uid="{7EA46983-7CE5-40D4-A2A5-35A8F3E0B4A1}"/>
    <cellStyle name="Comma 4 2 2 3 12" xfId="17277" xr:uid="{4892D96D-410F-4F94-A291-DC47C540852B}"/>
    <cellStyle name="Comma 4 2 2 3 2" xfId="133" xr:uid="{00000000-0005-0000-0000-0000FE070000}"/>
    <cellStyle name="Comma 4 2 2 3 2 10" xfId="8837" xr:uid="{D99F037C-1792-485A-AEF3-E7D7708CD787}"/>
    <cellStyle name="Comma 4 2 2 3 2 11" xfId="17278" xr:uid="{9DD14494-70B2-47FD-B11F-1B437A6221D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9948DB50-F9E5-4E5C-AFCB-F46B53C489CB}"/>
    <cellStyle name="Comma 4 2 2 3 2 2 2 2 3" xfId="24054" xr:uid="{D4312EAC-389D-4646-B8C5-CCC15F7A27AA}"/>
    <cellStyle name="Comma 4 2 2 3 2 2 2 3" xfId="11396" xr:uid="{483A4CFD-B6E6-452B-9FA6-36D9F77FFED4}"/>
    <cellStyle name="Comma 4 2 2 3 2 2 2 4" xfId="19837" xr:uid="{F34F6E49-F851-4200-BC41-429ECA7D67EC}"/>
    <cellStyle name="Comma 4 2 2 3 2 2 3" xfId="5019" xr:uid="{00000000-0005-0000-0000-000002080000}"/>
    <cellStyle name="Comma 4 2 2 3 2 2 3 2" xfId="13469" xr:uid="{053D82C6-3880-42FB-9CB1-5535D91F28B2}"/>
    <cellStyle name="Comma 4 2 2 3 2 2 3 3" xfId="21909" xr:uid="{10E2DEB5-B065-42BC-85D0-C4CD41345170}"/>
    <cellStyle name="Comma 4 2 2 3 2 2 4" xfId="9251" xr:uid="{951D94EF-899F-40D5-88F6-DBC1B2A360C3}"/>
    <cellStyle name="Comma 4 2 2 3 2 2 5" xfId="17692" xr:uid="{DA24EDAA-7FCF-4569-AB49-38C2591BF9A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8ABBE554-972F-4119-B574-95C4DE6087BE}"/>
    <cellStyle name="Comma 4 2 2 3 2 3 2 2 3" xfId="24467" xr:uid="{762A2B0E-9917-497C-A772-4F7DDFF59D8C}"/>
    <cellStyle name="Comma 4 2 2 3 2 3 2 3" xfId="11809" xr:uid="{037767EA-300F-4F61-B77C-8913FD571A2B}"/>
    <cellStyle name="Comma 4 2 2 3 2 3 2 4" xfId="20250" xr:uid="{D737A4AF-D2FE-43E8-82F2-F0B3DB7F47F1}"/>
    <cellStyle name="Comma 4 2 2 3 2 3 3" xfId="5432" xr:uid="{00000000-0005-0000-0000-000006080000}"/>
    <cellStyle name="Comma 4 2 2 3 2 3 3 2" xfId="13882" xr:uid="{628FBEAD-C47B-4705-814A-A0E310C2A703}"/>
    <cellStyle name="Comma 4 2 2 3 2 3 3 3" xfId="22322" xr:uid="{8FB02470-027A-4EED-93D5-52940AFD9718}"/>
    <cellStyle name="Comma 4 2 2 3 2 3 4" xfId="9664" xr:uid="{548534D5-C40C-464F-8D0A-1EF535ADDAD6}"/>
    <cellStyle name="Comma 4 2 2 3 2 3 5" xfId="18105" xr:uid="{42BAA539-287F-41A2-B7E5-835FF2681D74}"/>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BCFED643-A07F-47AC-ACF2-70BD6FE90247}"/>
    <cellStyle name="Comma 4 2 2 3 2 4 2 2 3" xfId="24880" xr:uid="{B0A0E55D-077A-4FDF-B46E-C5D584BBDFF2}"/>
    <cellStyle name="Comma 4 2 2 3 2 4 2 3" xfId="12222" xr:uid="{4B5A8A5F-6EF3-481D-BE60-276C699BC0E9}"/>
    <cellStyle name="Comma 4 2 2 3 2 4 2 4" xfId="20663" xr:uid="{7BC279D8-BE47-41DA-BCD5-4008D7927B9D}"/>
    <cellStyle name="Comma 4 2 2 3 2 4 3" xfId="5845" xr:uid="{00000000-0005-0000-0000-00000A080000}"/>
    <cellStyle name="Comma 4 2 2 3 2 4 3 2" xfId="14295" xr:uid="{316355A2-1A27-4BC8-AB3D-8930B852FF46}"/>
    <cellStyle name="Comma 4 2 2 3 2 4 3 3" xfId="22735" xr:uid="{878FDD2E-F4D7-4492-AA54-647B5A299D1E}"/>
    <cellStyle name="Comma 4 2 2 3 2 4 4" xfId="10077" xr:uid="{E0FF2A60-F3C2-478C-8153-C19AA883F1AF}"/>
    <cellStyle name="Comma 4 2 2 3 2 4 5" xfId="18518" xr:uid="{6AA9C050-F3C2-4716-95A7-94B0007173A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9901D908-9735-4E7E-BB6D-C4033AB9B12F}"/>
    <cellStyle name="Comma 4 2 2 3 2 5 2 2 3" xfId="25293" xr:uid="{AEC709DF-BAE3-400B-804D-4611A0317FA7}"/>
    <cellStyle name="Comma 4 2 2 3 2 5 2 3" xfId="12635" xr:uid="{91FE47C9-C602-42D1-8C00-DB31B44A4C1D}"/>
    <cellStyle name="Comma 4 2 2 3 2 5 2 4" xfId="21076" xr:uid="{A759E2C5-0C0A-47B4-892C-124DBC49284E}"/>
    <cellStyle name="Comma 4 2 2 3 2 5 3" xfId="6258" xr:uid="{00000000-0005-0000-0000-00000E080000}"/>
    <cellStyle name="Comma 4 2 2 3 2 5 3 2" xfId="14708" xr:uid="{1246C87F-A4D5-4822-868E-8ECD8C739A76}"/>
    <cellStyle name="Comma 4 2 2 3 2 5 3 3" xfId="23148" xr:uid="{F256F33F-8A49-4B13-9B44-BB0B41B0B45C}"/>
    <cellStyle name="Comma 4 2 2 3 2 5 4" xfId="10490" xr:uid="{30429A98-CB11-4004-99A9-F2CDA529A2DF}"/>
    <cellStyle name="Comma 4 2 2 3 2 5 5" xfId="18931" xr:uid="{A60ABDBA-4189-4154-AFF6-D85C24E703EF}"/>
    <cellStyle name="Comma 4 2 2 3 2 6" xfId="2387" xr:uid="{00000000-0005-0000-0000-00000F080000}"/>
    <cellStyle name="Comma 4 2 2 3 2 6 2" xfId="6671" xr:uid="{00000000-0005-0000-0000-000010080000}"/>
    <cellStyle name="Comma 4 2 2 3 2 6 2 2" xfId="15121" xr:uid="{B5396CAF-639E-4D1C-AAE3-90A0C2E06905}"/>
    <cellStyle name="Comma 4 2 2 3 2 6 2 3" xfId="23561" xr:uid="{F08D8A5D-2DA1-435B-A394-44DC43658243}"/>
    <cellStyle name="Comma 4 2 2 3 2 6 3" xfId="10903" xr:uid="{964BDF51-20DB-4A88-B258-306E9898B47B}"/>
    <cellStyle name="Comma 4 2 2 3 2 6 4" xfId="19344" xr:uid="{AEF725D7-DC82-498A-AB96-762ECD932CB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4AE29710-DDED-4A0D-AE32-6AEA49F060C5}"/>
    <cellStyle name="Comma 4 2 2 3 2 8 2 3" xfId="23878" xr:uid="{41477F8F-4C1F-495C-B0D9-04DCFE890B8C}"/>
    <cellStyle name="Comma 4 2 2 3 2 8 3" xfId="11220" xr:uid="{AEF4A889-D3D1-48DF-9840-59CDE7DF7406}"/>
    <cellStyle name="Comma 4 2 2 3 2 8 4" xfId="19661" xr:uid="{B1BEAE29-6903-49F1-A728-F78B19C22158}"/>
    <cellStyle name="Comma 4 2 2 3 2 9" xfId="4605" xr:uid="{00000000-0005-0000-0000-000014080000}"/>
    <cellStyle name="Comma 4 2 2 3 2 9 2" xfId="13055" xr:uid="{3AD987DF-733B-433A-AF18-1A515E7262B0}"/>
    <cellStyle name="Comma 4 2 2 3 2 9 3" xfId="21495" xr:uid="{C05B3B63-BB49-4AEC-8F2C-4574B6A54262}"/>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0E2289A5-E364-4E7E-A87A-427F88C5AD7D}"/>
    <cellStyle name="Comma 4 2 2 3 3 2 2 3" xfId="24053" xr:uid="{2A7645C6-7F39-4D18-8ABB-197B46AA7804}"/>
    <cellStyle name="Comma 4 2 2 3 3 2 3" xfId="11395" xr:uid="{7A13397A-DFC8-4908-945E-60B76C73FE52}"/>
    <cellStyle name="Comma 4 2 2 3 3 2 4" xfId="19836" xr:uid="{CB506E85-92E5-4E93-82AF-B19B328274EF}"/>
    <cellStyle name="Comma 4 2 2 3 3 3" xfId="5018" xr:uid="{00000000-0005-0000-0000-000018080000}"/>
    <cellStyle name="Comma 4 2 2 3 3 3 2" xfId="13468" xr:uid="{83E55633-ADFB-4299-9C98-D6AE1D433B59}"/>
    <cellStyle name="Comma 4 2 2 3 3 3 3" xfId="21908" xr:uid="{238295A2-C202-4F5B-ACC8-A107966996C8}"/>
    <cellStyle name="Comma 4 2 2 3 3 4" xfId="9250" xr:uid="{264AC453-E521-4AE2-9A18-41C3CCD7507B}"/>
    <cellStyle name="Comma 4 2 2 3 3 5" xfId="17691" xr:uid="{FF7F9042-3CAE-4345-B3B3-DE6D33CF31D1}"/>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0A63D3E5-A1D6-4543-B464-054F9EAEB12F}"/>
    <cellStyle name="Comma 4 2 2 3 4 2 2 3" xfId="24466" xr:uid="{46E15950-63FA-4081-991B-22453533E34D}"/>
    <cellStyle name="Comma 4 2 2 3 4 2 3" xfId="11808" xr:uid="{DD35DBDB-E79E-4E34-8163-F505536BCC7E}"/>
    <cellStyle name="Comma 4 2 2 3 4 2 4" xfId="20249" xr:uid="{3151EB69-CF02-4869-9E2C-3C6A3C95BD7D}"/>
    <cellStyle name="Comma 4 2 2 3 4 3" xfId="5431" xr:uid="{00000000-0005-0000-0000-00001C080000}"/>
    <cellStyle name="Comma 4 2 2 3 4 3 2" xfId="13881" xr:uid="{A79B6664-E10C-4D6E-ABA5-C5EFD7F19143}"/>
    <cellStyle name="Comma 4 2 2 3 4 3 3" xfId="22321" xr:uid="{77A08C41-CF85-4122-959E-B7075B627CB5}"/>
    <cellStyle name="Comma 4 2 2 3 4 4" xfId="9663" xr:uid="{8A41884D-B283-44B6-ADD3-F2189D4C6542}"/>
    <cellStyle name="Comma 4 2 2 3 4 5" xfId="18104" xr:uid="{FBAC8536-37A5-4B53-9F4E-63E3FCFAF27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CAF091EF-6755-4D96-AC16-A0F22452AB5B}"/>
    <cellStyle name="Comma 4 2 2 3 5 2 2 3" xfId="24879" xr:uid="{BEA6E17D-5FED-4031-BB59-C29CE7E2BD3B}"/>
    <cellStyle name="Comma 4 2 2 3 5 2 3" xfId="12221" xr:uid="{C627D107-4C5F-430D-8DFC-F62A707F5B74}"/>
    <cellStyle name="Comma 4 2 2 3 5 2 4" xfId="20662" xr:uid="{1F7A6AC5-23C8-4A60-BC19-DD046D9269AC}"/>
    <cellStyle name="Comma 4 2 2 3 5 3" xfId="5844" xr:uid="{00000000-0005-0000-0000-000020080000}"/>
    <cellStyle name="Comma 4 2 2 3 5 3 2" xfId="14294" xr:uid="{AC0FC56F-C05C-42A0-8AD2-5E9DE8BE3AE3}"/>
    <cellStyle name="Comma 4 2 2 3 5 3 3" xfId="22734" xr:uid="{59D7014E-E9E8-4C1D-8E6D-6F94607DC472}"/>
    <cellStyle name="Comma 4 2 2 3 5 4" xfId="10076" xr:uid="{2D3CEBE8-6574-4A69-89CF-0627C39DED90}"/>
    <cellStyle name="Comma 4 2 2 3 5 5" xfId="18517" xr:uid="{83EBE47D-69DB-4DF8-90FC-C0B9ED770558}"/>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98039479-76E6-4195-BA91-F321AF7603BB}"/>
    <cellStyle name="Comma 4 2 2 3 6 2 2 3" xfId="25292" xr:uid="{36870E41-0EE0-4D95-8B35-A0D3FABD1062}"/>
    <cellStyle name="Comma 4 2 2 3 6 2 3" xfId="12634" xr:uid="{B4ED8033-EAC0-46FA-B539-73BD240B3E06}"/>
    <cellStyle name="Comma 4 2 2 3 6 2 4" xfId="21075" xr:uid="{7BA43E37-3A96-4CF2-88DD-21A622526EBD}"/>
    <cellStyle name="Comma 4 2 2 3 6 3" xfId="6257" xr:uid="{00000000-0005-0000-0000-000024080000}"/>
    <cellStyle name="Comma 4 2 2 3 6 3 2" xfId="14707" xr:uid="{D64DB066-38A1-46D2-B3B6-F619D6B5FB2D}"/>
    <cellStyle name="Comma 4 2 2 3 6 3 3" xfId="23147" xr:uid="{04E62651-D2D2-447C-8D5E-D4712DE504D7}"/>
    <cellStyle name="Comma 4 2 2 3 6 4" xfId="10489" xr:uid="{C3A9A3BB-63D4-4A2C-BBC7-E49DE27390A9}"/>
    <cellStyle name="Comma 4 2 2 3 6 5" xfId="18930" xr:uid="{1E393258-20B3-44BF-AD43-23EA44CFE9B0}"/>
    <cellStyle name="Comma 4 2 2 3 7" xfId="2386" xr:uid="{00000000-0005-0000-0000-000025080000}"/>
    <cellStyle name="Comma 4 2 2 3 7 2" xfId="6670" xr:uid="{00000000-0005-0000-0000-000026080000}"/>
    <cellStyle name="Comma 4 2 2 3 7 2 2" xfId="15120" xr:uid="{0993496C-4901-45EF-B274-F73D45AF4D20}"/>
    <cellStyle name="Comma 4 2 2 3 7 2 3" xfId="23560" xr:uid="{00718924-28D7-44AB-AA77-AFAC118C654E}"/>
    <cellStyle name="Comma 4 2 2 3 7 3" xfId="10902" xr:uid="{A8D0E982-C0DA-48B4-A6E2-13F21C4B0D77}"/>
    <cellStyle name="Comma 4 2 2 3 7 4" xfId="19343" xr:uid="{674A172B-D9E8-4528-A5ED-33540D81E8E4}"/>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CC18841E-EF78-448B-900A-5CA660EBEEF8}"/>
    <cellStyle name="Comma 4 2 2 3 9 2 3" xfId="23877" xr:uid="{520D1394-25EF-40DD-ADF2-73240E5C63BB}"/>
    <cellStyle name="Comma 4 2 2 3 9 3" xfId="11219" xr:uid="{AA969A71-E181-4B3D-AA65-8A54093D3E68}"/>
    <cellStyle name="Comma 4 2 2 3 9 4" xfId="19660" xr:uid="{36D82857-2C42-4C0B-9097-B64AC97902C3}"/>
    <cellStyle name="Comma 4 2 2 4" xfId="134" xr:uid="{00000000-0005-0000-0000-00002A080000}"/>
    <cellStyle name="Comma 4 2 2 4 10" xfId="8838" xr:uid="{7CC91E14-487F-4D9C-804A-7BB4BCB859D1}"/>
    <cellStyle name="Comma 4 2 2 4 11" xfId="17279" xr:uid="{ECC93521-CF2B-4471-B0DC-F1830B0D6812}"/>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94AB8F0D-5C99-44F9-8EA9-359A77F167D7}"/>
    <cellStyle name="Comma 4 2 2 4 2 2 2 3" xfId="24055" xr:uid="{404BDC4F-1A4F-4A40-A272-C4E442EA206A}"/>
    <cellStyle name="Comma 4 2 2 4 2 2 3" xfId="11397" xr:uid="{EB4D4909-C43F-4C1C-84C9-D17145DB2586}"/>
    <cellStyle name="Comma 4 2 2 4 2 2 4" xfId="19838" xr:uid="{E1949E8E-4479-40AA-BB37-77E1BBE481C7}"/>
    <cellStyle name="Comma 4 2 2 4 2 3" xfId="5020" xr:uid="{00000000-0005-0000-0000-00002E080000}"/>
    <cellStyle name="Comma 4 2 2 4 2 3 2" xfId="13470" xr:uid="{953F494F-4975-4ED0-950B-B57B42DE5125}"/>
    <cellStyle name="Comma 4 2 2 4 2 3 3" xfId="21910" xr:uid="{8DABCCDC-65CF-4A1C-874A-888549655224}"/>
    <cellStyle name="Comma 4 2 2 4 2 4" xfId="9252" xr:uid="{8869E1F4-45AA-4185-A389-1A6D9AFFB0CE}"/>
    <cellStyle name="Comma 4 2 2 4 2 5" xfId="17693" xr:uid="{97D85E54-7B2B-4246-9964-79BDF19314A3}"/>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5FD36F4A-572F-44C7-BF45-158720E55790}"/>
    <cellStyle name="Comma 4 2 2 4 3 2 2 3" xfId="24468" xr:uid="{BE93B955-A3C2-4517-90CC-F5C13339D865}"/>
    <cellStyle name="Comma 4 2 2 4 3 2 3" xfId="11810" xr:uid="{AA32A095-D89C-4632-86DD-54F6D7419FDB}"/>
    <cellStyle name="Comma 4 2 2 4 3 2 4" xfId="20251" xr:uid="{39BD3EF3-E297-41C6-A38A-BB27F95D3CBB}"/>
    <cellStyle name="Comma 4 2 2 4 3 3" xfId="5433" xr:uid="{00000000-0005-0000-0000-000032080000}"/>
    <cellStyle name="Comma 4 2 2 4 3 3 2" xfId="13883" xr:uid="{3F2E58E2-863C-42A9-BCE4-75A55563CE2A}"/>
    <cellStyle name="Comma 4 2 2 4 3 3 3" xfId="22323" xr:uid="{E7A8CECD-64A5-4AC7-B1A4-1F7A618882CE}"/>
    <cellStyle name="Comma 4 2 2 4 3 4" xfId="9665" xr:uid="{A74D4503-5E0E-4792-9A7E-F8328DCC20EF}"/>
    <cellStyle name="Comma 4 2 2 4 3 5" xfId="18106" xr:uid="{28E97230-F0C5-4681-BD04-7639CC176730}"/>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D165E2F1-80D3-4F31-9209-6642333A772E}"/>
    <cellStyle name="Comma 4 2 2 4 4 2 2 3" xfId="24881" xr:uid="{3A011B4F-CC5F-459C-A165-608BD51E3F08}"/>
    <cellStyle name="Comma 4 2 2 4 4 2 3" xfId="12223" xr:uid="{E8249AC8-E9E1-432E-9669-D5D315CD45C1}"/>
    <cellStyle name="Comma 4 2 2 4 4 2 4" xfId="20664" xr:uid="{805ABAC3-64DF-41B8-A307-4F989E047A3C}"/>
    <cellStyle name="Comma 4 2 2 4 4 3" xfId="5846" xr:uid="{00000000-0005-0000-0000-000036080000}"/>
    <cellStyle name="Comma 4 2 2 4 4 3 2" xfId="14296" xr:uid="{43DB992C-3985-49E5-A80F-022841DC2FD8}"/>
    <cellStyle name="Comma 4 2 2 4 4 3 3" xfId="22736" xr:uid="{AE7F0CDE-3DD4-4D88-A019-9010F789DE03}"/>
    <cellStyle name="Comma 4 2 2 4 4 4" xfId="10078" xr:uid="{AFAD52DE-04AA-4824-AAD2-713D38820C99}"/>
    <cellStyle name="Comma 4 2 2 4 4 5" xfId="18519" xr:uid="{AC98BCD0-45F4-4159-BFEC-0B32A76FE26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CF29475C-9E96-40E0-B9EF-D29DCD565D85}"/>
    <cellStyle name="Comma 4 2 2 4 5 2 2 3" xfId="25294" xr:uid="{75C9B4E0-85D2-4895-909F-042BB33CA6E8}"/>
    <cellStyle name="Comma 4 2 2 4 5 2 3" xfId="12636" xr:uid="{D7987F03-BBEA-46E3-BF4D-B4DA2F4B24AD}"/>
    <cellStyle name="Comma 4 2 2 4 5 2 4" xfId="21077" xr:uid="{D970D549-AE77-4880-B198-19EBE3103D4E}"/>
    <cellStyle name="Comma 4 2 2 4 5 3" xfId="6259" xr:uid="{00000000-0005-0000-0000-00003A080000}"/>
    <cellStyle name="Comma 4 2 2 4 5 3 2" xfId="14709" xr:uid="{A532FEAB-24B7-4374-96A4-551B416AB394}"/>
    <cellStyle name="Comma 4 2 2 4 5 3 3" xfId="23149" xr:uid="{68EB70B8-C605-4363-9C81-EA076D3B047C}"/>
    <cellStyle name="Comma 4 2 2 4 5 4" xfId="10491" xr:uid="{E48F3465-D295-4CFB-8887-5BC68299E739}"/>
    <cellStyle name="Comma 4 2 2 4 5 5" xfId="18932" xr:uid="{80C4C623-08A6-432A-B34D-3779FAF08168}"/>
    <cellStyle name="Comma 4 2 2 4 6" xfId="2388" xr:uid="{00000000-0005-0000-0000-00003B080000}"/>
    <cellStyle name="Comma 4 2 2 4 6 2" xfId="6672" xr:uid="{00000000-0005-0000-0000-00003C080000}"/>
    <cellStyle name="Comma 4 2 2 4 6 2 2" xfId="15122" xr:uid="{F1A57EAB-31AD-479B-B949-C6FF2AF3B0E9}"/>
    <cellStyle name="Comma 4 2 2 4 6 2 3" xfId="23562" xr:uid="{5D3BA757-CC77-4103-AC86-27C83E898A05}"/>
    <cellStyle name="Comma 4 2 2 4 6 3" xfId="10904" xr:uid="{9EFE37AD-1297-4D34-84DF-B915ADDFF4FB}"/>
    <cellStyle name="Comma 4 2 2 4 6 4" xfId="19345" xr:uid="{86C37F10-1A3F-424E-9075-A9FE573BDF69}"/>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E2A5FBEB-684F-42AF-85CB-43CE931F96F3}"/>
    <cellStyle name="Comma 4 2 2 4 8 2 3" xfId="23879" xr:uid="{348A6B5B-0132-4B3F-B589-3E7C09679985}"/>
    <cellStyle name="Comma 4 2 2 4 8 3" xfId="11221" xr:uid="{AD9F9CB3-CFF0-4B9B-A026-1941448CD2FB}"/>
    <cellStyle name="Comma 4 2 2 4 8 4" xfId="19662" xr:uid="{80F9ED7F-9BA4-4DE5-9761-B5EDBE0C3126}"/>
    <cellStyle name="Comma 4 2 2 4 9" xfId="4606" xr:uid="{00000000-0005-0000-0000-000040080000}"/>
    <cellStyle name="Comma 4 2 2 4 9 2" xfId="13056" xr:uid="{CBE22279-DB03-4713-A2B2-6B42F6449D5A}"/>
    <cellStyle name="Comma 4 2 2 4 9 3" xfId="21496" xr:uid="{47BF9020-24A4-4452-BE0A-D4017D1D97B6}"/>
    <cellStyle name="Comma 4 2 2 5" xfId="135" xr:uid="{00000000-0005-0000-0000-000041080000}"/>
    <cellStyle name="Comma 4 2 2 5 10" xfId="8839" xr:uid="{95CC0C64-62A5-46DF-A8F7-B388FA03A76A}"/>
    <cellStyle name="Comma 4 2 2 5 11" xfId="17280" xr:uid="{7328BBD7-CBCC-412E-820B-832E4D28D4EE}"/>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0C415CD8-B625-434E-A4DA-BDF34B183B93}"/>
    <cellStyle name="Comma 4 2 2 5 2 2 2 3" xfId="24056" xr:uid="{8CE4C808-42C7-4B54-87C9-C232942796DF}"/>
    <cellStyle name="Comma 4 2 2 5 2 2 3" xfId="11398" xr:uid="{C1101D9D-0D54-42BF-99B4-9DB4D565035A}"/>
    <cellStyle name="Comma 4 2 2 5 2 2 4" xfId="19839" xr:uid="{A3E59F98-5E0B-4BA9-8C40-01A4EEBF6757}"/>
    <cellStyle name="Comma 4 2 2 5 2 3" xfId="5021" xr:uid="{00000000-0005-0000-0000-000045080000}"/>
    <cellStyle name="Comma 4 2 2 5 2 3 2" xfId="13471" xr:uid="{E016B71E-1479-4CD9-AA80-9516B4691BC8}"/>
    <cellStyle name="Comma 4 2 2 5 2 3 3" xfId="21911" xr:uid="{5AF5F7DD-A98A-4A08-BE97-7E591F677BA6}"/>
    <cellStyle name="Comma 4 2 2 5 2 4" xfId="9253" xr:uid="{23F1F787-D552-4654-A0F8-0ABA084F86DA}"/>
    <cellStyle name="Comma 4 2 2 5 2 5" xfId="17694" xr:uid="{782716B7-5E4D-47D5-8592-F7E96081B95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82C79B09-143C-42CE-B876-8106FE4DFB59}"/>
    <cellStyle name="Comma 4 2 2 5 3 2 2 3" xfId="24469" xr:uid="{141A4823-4483-4BCA-9EBF-FCF2834760B6}"/>
    <cellStyle name="Comma 4 2 2 5 3 2 3" xfId="11811" xr:uid="{54592481-123F-4D92-A1E3-48D5BE223AEE}"/>
    <cellStyle name="Comma 4 2 2 5 3 2 4" xfId="20252" xr:uid="{D46D6EDB-A8DD-44FC-806B-C2D08879F41C}"/>
    <cellStyle name="Comma 4 2 2 5 3 3" xfId="5434" xr:uid="{00000000-0005-0000-0000-000049080000}"/>
    <cellStyle name="Comma 4 2 2 5 3 3 2" xfId="13884" xr:uid="{0868E5BA-2821-439D-99E1-EDC7EEE15E32}"/>
    <cellStyle name="Comma 4 2 2 5 3 3 3" xfId="22324" xr:uid="{C2E00491-73D8-4E95-A313-251D1DB42EF1}"/>
    <cellStyle name="Comma 4 2 2 5 3 4" xfId="9666" xr:uid="{EA07A0DA-0393-4A98-A24E-761C1AFAAEB5}"/>
    <cellStyle name="Comma 4 2 2 5 3 5" xfId="18107" xr:uid="{1157CAD2-DD8F-43DC-B904-3555C67434E1}"/>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98CD1FB0-09F4-4EF2-BBB3-94E168AE6C03}"/>
    <cellStyle name="Comma 4 2 2 5 4 2 2 3" xfId="24882" xr:uid="{433BE462-F680-468A-A5DB-A9DACBD4B671}"/>
    <cellStyle name="Comma 4 2 2 5 4 2 3" xfId="12224" xr:uid="{E0DF7AF6-482D-4EFA-A92B-7899E139EB94}"/>
    <cellStyle name="Comma 4 2 2 5 4 2 4" xfId="20665" xr:uid="{631953CF-F574-48BB-B376-C5D29197FFE0}"/>
    <cellStyle name="Comma 4 2 2 5 4 3" xfId="5847" xr:uid="{00000000-0005-0000-0000-00004D080000}"/>
    <cellStyle name="Comma 4 2 2 5 4 3 2" xfId="14297" xr:uid="{B0CEC2E0-018C-4EAD-8E53-3C2FCE7346D8}"/>
    <cellStyle name="Comma 4 2 2 5 4 3 3" xfId="22737" xr:uid="{F4C8FC38-FA17-4BE8-B503-3FE182D2F292}"/>
    <cellStyle name="Comma 4 2 2 5 4 4" xfId="10079" xr:uid="{8A4A6722-10D5-45CA-A7B6-2526CC37EC5E}"/>
    <cellStyle name="Comma 4 2 2 5 4 5" xfId="18520" xr:uid="{BA9B0E03-7BBE-4576-A87C-C1796DCFD78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30DC8CEA-5695-41E1-B8DE-05D6086FAB8D}"/>
    <cellStyle name="Comma 4 2 2 5 5 2 2 3" xfId="25295" xr:uid="{9564A378-F8AD-4FA3-93DF-0514924E3E2D}"/>
    <cellStyle name="Comma 4 2 2 5 5 2 3" xfId="12637" xr:uid="{B7962BA8-1DEC-42A1-B483-1F9C90137A25}"/>
    <cellStyle name="Comma 4 2 2 5 5 2 4" xfId="21078" xr:uid="{84487E97-6546-4580-8240-C0AD809AEA35}"/>
    <cellStyle name="Comma 4 2 2 5 5 3" xfId="6260" xr:uid="{00000000-0005-0000-0000-000051080000}"/>
    <cellStyle name="Comma 4 2 2 5 5 3 2" xfId="14710" xr:uid="{EE6F128B-6C98-4F5C-99FF-2AD7EBFB60D8}"/>
    <cellStyle name="Comma 4 2 2 5 5 3 3" xfId="23150" xr:uid="{4E5E4700-AD23-4D72-BCEC-C2F0D7B350C9}"/>
    <cellStyle name="Comma 4 2 2 5 5 4" xfId="10492" xr:uid="{BC9CC0CE-578F-4C13-97BD-FCA224AB1E70}"/>
    <cellStyle name="Comma 4 2 2 5 5 5" xfId="18933" xr:uid="{FC474F22-C1EC-46E2-961C-BDE583EA1A39}"/>
    <cellStyle name="Comma 4 2 2 5 6" xfId="2389" xr:uid="{00000000-0005-0000-0000-000052080000}"/>
    <cellStyle name="Comma 4 2 2 5 6 2" xfId="6673" xr:uid="{00000000-0005-0000-0000-000053080000}"/>
    <cellStyle name="Comma 4 2 2 5 6 2 2" xfId="15123" xr:uid="{29B82C7F-609B-4C88-9E74-3E0ECB9DE4C8}"/>
    <cellStyle name="Comma 4 2 2 5 6 2 3" xfId="23563" xr:uid="{D89EB9FB-FA84-4AA0-84D3-05FD4485ED23}"/>
    <cellStyle name="Comma 4 2 2 5 6 3" xfId="10905" xr:uid="{8F461472-FBB0-468A-A3E0-07D7F982C720}"/>
    <cellStyle name="Comma 4 2 2 5 6 4" xfId="19346" xr:uid="{D0938F66-E7F1-40F7-96B5-6F63D48A8D60}"/>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DDA028FB-C4D2-4B1F-85DE-9F33DD8AA2E9}"/>
    <cellStyle name="Comma 4 2 2 5 8 2 3" xfId="23880" xr:uid="{86E03D7E-8DB8-4388-8833-0A9C9B122509}"/>
    <cellStyle name="Comma 4 2 2 5 8 3" xfId="11222" xr:uid="{B3C70627-0F25-4A9F-8492-A4542FEC5D3E}"/>
    <cellStyle name="Comma 4 2 2 5 8 4" xfId="19663" xr:uid="{DEF33F18-9439-4D9C-9FDB-49010182BCC5}"/>
    <cellStyle name="Comma 4 2 2 5 9" xfId="4607" xr:uid="{00000000-0005-0000-0000-000057080000}"/>
    <cellStyle name="Comma 4 2 2 5 9 2" xfId="13057" xr:uid="{C1DCFF4F-9393-448F-99CE-A549F2ED6B6B}"/>
    <cellStyle name="Comma 4 2 2 5 9 3" xfId="21497" xr:uid="{E50E7BCD-2752-4728-949C-91627DFCA4E1}"/>
    <cellStyle name="Comma 4 2 3" xfId="136" xr:uid="{00000000-0005-0000-0000-000058080000}"/>
    <cellStyle name="Comma 4 2 3 10" xfId="2768" xr:uid="{00000000-0005-0000-0000-000059080000}"/>
    <cellStyle name="Comma 4 2 3 10 2" xfId="6991" xr:uid="{00000000-0005-0000-0000-00005A080000}"/>
    <cellStyle name="Comma 4 2 3 10 2 2" xfId="15441" xr:uid="{6FA9E136-8200-4F0E-81AC-80692BE23EF2}"/>
    <cellStyle name="Comma 4 2 3 10 2 3" xfId="23881" xr:uid="{A0602CB2-EECB-4F72-A630-F5E232E8F796}"/>
    <cellStyle name="Comma 4 2 3 10 3" xfId="11223" xr:uid="{537D252E-6D5C-4C58-BB30-0B06774F1F2E}"/>
    <cellStyle name="Comma 4 2 3 10 4" xfId="19664" xr:uid="{8C7BAA9B-076A-42E9-87B6-7346EE5DBF46}"/>
    <cellStyle name="Comma 4 2 3 11" xfId="4608" xr:uid="{00000000-0005-0000-0000-00005B080000}"/>
    <cellStyle name="Comma 4 2 3 11 2" xfId="13058" xr:uid="{C4A886B2-A70D-4317-A1E7-A450E9088621}"/>
    <cellStyle name="Comma 4 2 3 11 3" xfId="21498" xr:uid="{856894F6-E032-4C4F-917E-DBDC52C50435}"/>
    <cellStyle name="Comma 4 2 3 12" xfId="8840" xr:uid="{0B11E801-22A8-4342-ACCA-00F35F593E50}"/>
    <cellStyle name="Comma 4 2 3 13" xfId="17281" xr:uid="{14F63C53-87D6-4F07-A336-1FB092D0A65E}"/>
    <cellStyle name="Comma 4 2 3 2" xfId="137" xr:uid="{00000000-0005-0000-0000-00005C080000}"/>
    <cellStyle name="Comma 4 2 3 2 10" xfId="4609" xr:uid="{00000000-0005-0000-0000-00005D080000}"/>
    <cellStyle name="Comma 4 2 3 2 10 2" xfId="13059" xr:uid="{4A2D6FA5-AAC1-4533-BC0C-5B21E3E07AD3}"/>
    <cellStyle name="Comma 4 2 3 2 10 3" xfId="21499" xr:uid="{DA445F0A-E78E-4D54-8BD2-38BE686830DF}"/>
    <cellStyle name="Comma 4 2 3 2 11" xfId="8841" xr:uid="{3DF849E3-33E0-4818-AEBF-9E359160B14A}"/>
    <cellStyle name="Comma 4 2 3 2 12" xfId="17282" xr:uid="{FBE5B7BF-DF10-4C0C-89AA-8DBFA15BCE44}"/>
    <cellStyle name="Comma 4 2 3 2 2" xfId="138" xr:uid="{00000000-0005-0000-0000-00005E080000}"/>
    <cellStyle name="Comma 4 2 3 2 2 10" xfId="8842" xr:uid="{ED13BA68-C96B-45C3-9692-BC75696182C0}"/>
    <cellStyle name="Comma 4 2 3 2 2 11" xfId="17283" xr:uid="{3C2DE3C0-68A3-4133-A2B5-66E909D534B9}"/>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707A1487-D17D-4B0F-8ED5-57331F499ABF}"/>
    <cellStyle name="Comma 4 2 3 2 2 2 2 2 3" xfId="24059" xr:uid="{0782224B-6654-4E17-B767-66CF6EEC3F58}"/>
    <cellStyle name="Comma 4 2 3 2 2 2 2 3" xfId="11401" xr:uid="{744624F5-D558-40B5-B08D-D2F5D3731E4F}"/>
    <cellStyle name="Comma 4 2 3 2 2 2 2 4" xfId="19842" xr:uid="{DC123F57-B7DE-434B-AEEA-5032A15287C2}"/>
    <cellStyle name="Comma 4 2 3 2 2 2 3" xfId="5024" xr:uid="{00000000-0005-0000-0000-000062080000}"/>
    <cellStyle name="Comma 4 2 3 2 2 2 3 2" xfId="13474" xr:uid="{A7C078EB-E272-4DBE-93D1-A504E1364C4A}"/>
    <cellStyle name="Comma 4 2 3 2 2 2 3 3" xfId="21914" xr:uid="{56EA41DC-E99E-4A26-B888-674E8E73EDC2}"/>
    <cellStyle name="Comma 4 2 3 2 2 2 4" xfId="9256" xr:uid="{56B567A2-1E3F-4403-BC69-E0E3B04556B8}"/>
    <cellStyle name="Comma 4 2 3 2 2 2 5" xfId="17697" xr:uid="{2EF6F83F-B068-4A34-8890-28ED19C3D6F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B1640814-6E4B-4B5F-B7C1-79BDF04B45B6}"/>
    <cellStyle name="Comma 4 2 3 2 2 3 2 2 3" xfId="24472" xr:uid="{AB70C894-B421-4018-A314-3B27A9C98462}"/>
    <cellStyle name="Comma 4 2 3 2 2 3 2 3" xfId="11814" xr:uid="{389A7216-3F6A-4B37-BFD7-AC71E80DC453}"/>
    <cellStyle name="Comma 4 2 3 2 2 3 2 4" xfId="20255" xr:uid="{413F3043-FDA3-42AF-BCEE-149DDBC7DAC3}"/>
    <cellStyle name="Comma 4 2 3 2 2 3 3" xfId="5437" xr:uid="{00000000-0005-0000-0000-000066080000}"/>
    <cellStyle name="Comma 4 2 3 2 2 3 3 2" xfId="13887" xr:uid="{C9212482-1757-4CA6-AE0A-BF3F6FBA09D8}"/>
    <cellStyle name="Comma 4 2 3 2 2 3 3 3" xfId="22327" xr:uid="{285D4981-F086-4A6C-84F1-46CA64642AB2}"/>
    <cellStyle name="Comma 4 2 3 2 2 3 4" xfId="9669" xr:uid="{9DDC00B2-1E28-4BDE-9F95-1674971CD435}"/>
    <cellStyle name="Comma 4 2 3 2 2 3 5" xfId="18110" xr:uid="{AF82D679-5D53-40EF-9A5B-C525E301E76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81213D34-BB8F-43E4-B7D1-1EE714FAC498}"/>
    <cellStyle name="Comma 4 2 3 2 2 4 2 2 3" xfId="24885" xr:uid="{DA99D4E1-D99A-437A-857C-0B526230FF7F}"/>
    <cellStyle name="Comma 4 2 3 2 2 4 2 3" xfId="12227" xr:uid="{7FDA2C2C-2DFA-46D9-9B9F-808FAD8C3727}"/>
    <cellStyle name="Comma 4 2 3 2 2 4 2 4" xfId="20668" xr:uid="{9B62C9A2-32B4-4D1B-953D-0C3A5FEC0697}"/>
    <cellStyle name="Comma 4 2 3 2 2 4 3" xfId="5850" xr:uid="{00000000-0005-0000-0000-00006A080000}"/>
    <cellStyle name="Comma 4 2 3 2 2 4 3 2" xfId="14300" xr:uid="{D725801D-BE34-4DB0-97F2-8E256CFA8482}"/>
    <cellStyle name="Comma 4 2 3 2 2 4 3 3" xfId="22740" xr:uid="{F6E7734F-0489-4A45-826F-A33A1095B12D}"/>
    <cellStyle name="Comma 4 2 3 2 2 4 4" xfId="10082" xr:uid="{270D35E9-E852-4B81-9EC5-D7D198A4AEB0}"/>
    <cellStyle name="Comma 4 2 3 2 2 4 5" xfId="18523" xr:uid="{E36093AA-4C67-4D39-AE1E-E7A03B3A7411}"/>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F9589546-81D2-4987-8CCB-E570DD5BC37D}"/>
    <cellStyle name="Comma 4 2 3 2 2 5 2 2 3" xfId="25298" xr:uid="{EC30B0D3-FACC-4DB7-AE23-441EA90D5EBC}"/>
    <cellStyle name="Comma 4 2 3 2 2 5 2 3" xfId="12640" xr:uid="{42877EC9-26C8-4F42-9CAD-67EF6349CD75}"/>
    <cellStyle name="Comma 4 2 3 2 2 5 2 4" xfId="21081" xr:uid="{6AE79AF2-4BC8-448C-87AC-5327F11FE2FA}"/>
    <cellStyle name="Comma 4 2 3 2 2 5 3" xfId="6263" xr:uid="{00000000-0005-0000-0000-00006E080000}"/>
    <cellStyle name="Comma 4 2 3 2 2 5 3 2" xfId="14713" xr:uid="{C7C4F406-AA90-4051-8CCA-5238E7F4370C}"/>
    <cellStyle name="Comma 4 2 3 2 2 5 3 3" xfId="23153" xr:uid="{1A1EA167-1B5F-4769-8E3A-30A26B1A2DD5}"/>
    <cellStyle name="Comma 4 2 3 2 2 5 4" xfId="10495" xr:uid="{3C3332FD-F305-4178-8D88-2B7C1B0D7EF9}"/>
    <cellStyle name="Comma 4 2 3 2 2 5 5" xfId="18936" xr:uid="{A7A1EA05-8730-4A0D-A1F7-20D5FE2C2350}"/>
    <cellStyle name="Comma 4 2 3 2 2 6" xfId="2392" xr:uid="{00000000-0005-0000-0000-00006F080000}"/>
    <cellStyle name="Comma 4 2 3 2 2 6 2" xfId="6676" xr:uid="{00000000-0005-0000-0000-000070080000}"/>
    <cellStyle name="Comma 4 2 3 2 2 6 2 2" xfId="15126" xr:uid="{308EB862-5257-4666-96F3-8A215C239398}"/>
    <cellStyle name="Comma 4 2 3 2 2 6 2 3" xfId="23566" xr:uid="{1D8604AF-1485-4639-8B56-A8A725EBD564}"/>
    <cellStyle name="Comma 4 2 3 2 2 6 3" xfId="10908" xr:uid="{F1BDA72A-94A4-4220-A181-4BD8D1422B5A}"/>
    <cellStyle name="Comma 4 2 3 2 2 6 4" xfId="19349" xr:uid="{2C0E5306-0992-4CAF-AAFA-330A79A91BBC}"/>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B52B39E4-76DB-4080-B555-BFEA8B12497B}"/>
    <cellStyle name="Comma 4 2 3 2 2 8 2 3" xfId="23883" xr:uid="{095D7CF8-78D1-4189-B130-642E8DCFB101}"/>
    <cellStyle name="Comma 4 2 3 2 2 8 3" xfId="11225" xr:uid="{DA056491-618F-4410-8F3F-FC1B5FFE9BDE}"/>
    <cellStyle name="Comma 4 2 3 2 2 8 4" xfId="19666" xr:uid="{94715D03-27DF-461B-8F79-EDD61EB6BA0C}"/>
    <cellStyle name="Comma 4 2 3 2 2 9" xfId="4610" xr:uid="{00000000-0005-0000-0000-000074080000}"/>
    <cellStyle name="Comma 4 2 3 2 2 9 2" xfId="13060" xr:uid="{1D5763D6-2E31-41B7-94C4-6A964F44C104}"/>
    <cellStyle name="Comma 4 2 3 2 2 9 3" xfId="21500" xr:uid="{7DFB66FD-176A-4022-BC12-D2E997D1E18C}"/>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717D50BB-0456-4525-98C1-30399B132AF0}"/>
    <cellStyle name="Comma 4 2 3 2 3 2 2 3" xfId="24058" xr:uid="{CC100255-6AA4-4D46-9B27-DD0D433659DD}"/>
    <cellStyle name="Comma 4 2 3 2 3 2 3" xfId="11400" xr:uid="{42D5C6E1-649A-4DAF-80CA-8FB14AC6303F}"/>
    <cellStyle name="Comma 4 2 3 2 3 2 4" xfId="19841" xr:uid="{6BBAAAE5-8D25-489A-B140-245F19F5A6A8}"/>
    <cellStyle name="Comma 4 2 3 2 3 3" xfId="5023" xr:uid="{00000000-0005-0000-0000-000078080000}"/>
    <cellStyle name="Comma 4 2 3 2 3 3 2" xfId="13473" xr:uid="{9AF71CB6-03B1-43C0-845C-0CBD45D5CBA8}"/>
    <cellStyle name="Comma 4 2 3 2 3 3 3" xfId="21913" xr:uid="{E69CFA71-1407-4BD3-A9BB-F7B6AFEBA0AA}"/>
    <cellStyle name="Comma 4 2 3 2 3 4" xfId="9255" xr:uid="{6C594CF9-8E1A-4FB5-B2C2-817C48D821D4}"/>
    <cellStyle name="Comma 4 2 3 2 3 5" xfId="17696" xr:uid="{5FA74E08-3589-47AB-9594-0BE88F59B94B}"/>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F86B58DF-BD2D-4904-AEE6-1F90731AD810}"/>
    <cellStyle name="Comma 4 2 3 2 4 2 2 3" xfId="24471" xr:uid="{CDCBF095-3C50-4398-A233-58784946E60E}"/>
    <cellStyle name="Comma 4 2 3 2 4 2 3" xfId="11813" xr:uid="{6FBAEEE6-85B9-4F4B-89D1-F60BD073206B}"/>
    <cellStyle name="Comma 4 2 3 2 4 2 4" xfId="20254" xr:uid="{4F2B0682-E4DD-4FE2-A4D2-6CAB556E88A3}"/>
    <cellStyle name="Comma 4 2 3 2 4 3" xfId="5436" xr:uid="{00000000-0005-0000-0000-00007C080000}"/>
    <cellStyle name="Comma 4 2 3 2 4 3 2" xfId="13886" xr:uid="{2228762C-5F7F-47C3-A901-036838CB975E}"/>
    <cellStyle name="Comma 4 2 3 2 4 3 3" xfId="22326" xr:uid="{09D6F519-C36B-4035-BC30-A7779E7FA930}"/>
    <cellStyle name="Comma 4 2 3 2 4 4" xfId="9668" xr:uid="{3B54E3B0-CEDD-47FA-BBF2-BDDA343A9CC4}"/>
    <cellStyle name="Comma 4 2 3 2 4 5" xfId="18109" xr:uid="{27A2700E-0394-45B0-B077-099DA8DC597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F399D729-57ED-4A3F-8313-FDA17D1920BF}"/>
    <cellStyle name="Comma 4 2 3 2 5 2 2 3" xfId="24884" xr:uid="{0F601E80-7A85-4712-B725-19DEB2A1131B}"/>
    <cellStyle name="Comma 4 2 3 2 5 2 3" xfId="12226" xr:uid="{B69013DB-8D01-4A44-BCE8-1D1A0363F8C3}"/>
    <cellStyle name="Comma 4 2 3 2 5 2 4" xfId="20667" xr:uid="{BB0B340F-EAD5-41A3-8ED5-769D2E241F2E}"/>
    <cellStyle name="Comma 4 2 3 2 5 3" xfId="5849" xr:uid="{00000000-0005-0000-0000-000080080000}"/>
    <cellStyle name="Comma 4 2 3 2 5 3 2" xfId="14299" xr:uid="{4218AFED-21D5-4F1F-964B-8CAA01409F1B}"/>
    <cellStyle name="Comma 4 2 3 2 5 3 3" xfId="22739" xr:uid="{4887ECC1-CAE3-4348-97D7-DFC2F759C50E}"/>
    <cellStyle name="Comma 4 2 3 2 5 4" xfId="10081" xr:uid="{1C17FB4B-DC08-484B-B4A5-14F667BBAC7F}"/>
    <cellStyle name="Comma 4 2 3 2 5 5" xfId="18522" xr:uid="{21F7CC54-E4B9-4A9D-B183-4F629BDD9194}"/>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A533801E-56BA-4541-AA3B-883AEDDF5D1A}"/>
    <cellStyle name="Comma 4 2 3 2 6 2 2 3" xfId="25297" xr:uid="{05A13D80-30BF-4950-BBB4-C038D3002AB4}"/>
    <cellStyle name="Comma 4 2 3 2 6 2 3" xfId="12639" xr:uid="{3956B749-587F-48C2-AEF1-B6F4DA8DFB30}"/>
    <cellStyle name="Comma 4 2 3 2 6 2 4" xfId="21080" xr:uid="{8A143044-4A2C-4058-B138-5FB66F533027}"/>
    <cellStyle name="Comma 4 2 3 2 6 3" xfId="6262" xr:uid="{00000000-0005-0000-0000-000084080000}"/>
    <cellStyle name="Comma 4 2 3 2 6 3 2" xfId="14712" xr:uid="{EBD8F9F2-F3D2-4E1D-BAD1-1D3D614B0F9C}"/>
    <cellStyle name="Comma 4 2 3 2 6 3 3" xfId="23152" xr:uid="{A105A2F3-4CF1-4CA0-BF94-34D4DFECFCEA}"/>
    <cellStyle name="Comma 4 2 3 2 6 4" xfId="10494" xr:uid="{57B3DBDD-5410-4B62-A484-5A6315FD01A0}"/>
    <cellStyle name="Comma 4 2 3 2 6 5" xfId="18935" xr:uid="{EDD67C9B-2889-4D5E-88DF-525617931F3A}"/>
    <cellStyle name="Comma 4 2 3 2 7" xfId="2391" xr:uid="{00000000-0005-0000-0000-000085080000}"/>
    <cellStyle name="Comma 4 2 3 2 7 2" xfId="6675" xr:uid="{00000000-0005-0000-0000-000086080000}"/>
    <cellStyle name="Comma 4 2 3 2 7 2 2" xfId="15125" xr:uid="{90D17F13-54DB-4EDD-9661-C7A54BBDC536}"/>
    <cellStyle name="Comma 4 2 3 2 7 2 3" xfId="23565" xr:uid="{269AE452-C212-4FD5-8DC4-AE7CFBB2AA31}"/>
    <cellStyle name="Comma 4 2 3 2 7 3" xfId="10907" xr:uid="{1BE9A206-05C7-432E-932B-A1E540FDC881}"/>
    <cellStyle name="Comma 4 2 3 2 7 4" xfId="19348" xr:uid="{48A6DC62-958B-4F15-9103-208EE2289722}"/>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951ADDE2-8E2B-4A3B-9118-A416D289359E}"/>
    <cellStyle name="Comma 4 2 3 2 9 2 3" xfId="23882" xr:uid="{73B9DD38-54C2-4376-8A14-B8759C836465}"/>
    <cellStyle name="Comma 4 2 3 2 9 3" xfId="11224" xr:uid="{192AB171-AEA0-472F-A960-6DC588D5D664}"/>
    <cellStyle name="Comma 4 2 3 2 9 4" xfId="19665" xr:uid="{D36C04B3-F0C2-4FEA-BD77-89998FDDAD9D}"/>
    <cellStyle name="Comma 4 2 3 3" xfId="139" xr:uid="{00000000-0005-0000-0000-00008A080000}"/>
    <cellStyle name="Comma 4 2 3 3 10" xfId="8843" xr:uid="{43B2B8B1-A5FB-4E25-BAEC-57CC7C0AE2F5}"/>
    <cellStyle name="Comma 4 2 3 3 11" xfId="17284" xr:uid="{6413259F-1777-4C5A-881E-14410E3F2822}"/>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652F3345-82B9-400B-8E93-67F7264708E6}"/>
    <cellStyle name="Comma 4 2 3 3 2 2 2 3" xfId="24060" xr:uid="{AF5B9FDD-C162-40E3-9E13-695628006FFB}"/>
    <cellStyle name="Comma 4 2 3 3 2 2 3" xfId="11402" xr:uid="{1E4DB828-5C04-409C-8FFC-3554ACD91968}"/>
    <cellStyle name="Comma 4 2 3 3 2 2 4" xfId="19843" xr:uid="{5FA019B0-9461-43FF-858C-ECF5B2AA6D84}"/>
    <cellStyle name="Comma 4 2 3 3 2 3" xfId="5025" xr:uid="{00000000-0005-0000-0000-00008E080000}"/>
    <cellStyle name="Comma 4 2 3 3 2 3 2" xfId="13475" xr:uid="{725D142D-BE55-448F-815C-DE38A7992951}"/>
    <cellStyle name="Comma 4 2 3 3 2 3 3" xfId="21915" xr:uid="{D83D347C-5620-4EBA-8732-DB0EC5217BA7}"/>
    <cellStyle name="Comma 4 2 3 3 2 4" xfId="9257" xr:uid="{BEE87AEE-0D89-4ECA-8492-0070B2AFDBA7}"/>
    <cellStyle name="Comma 4 2 3 3 2 5" xfId="17698" xr:uid="{C9D52A63-C016-4AEB-8BE0-4D04D83743DE}"/>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37DE9374-67C5-4DBC-8EA8-DF9BCC44E663}"/>
    <cellStyle name="Comma 4 2 3 3 3 2 2 3" xfId="24473" xr:uid="{8BF4D204-E7B6-4ACC-BABC-6547B8D14852}"/>
    <cellStyle name="Comma 4 2 3 3 3 2 3" xfId="11815" xr:uid="{4D667D38-6DDC-44C2-9EDD-B5280F477486}"/>
    <cellStyle name="Comma 4 2 3 3 3 2 4" xfId="20256" xr:uid="{F6059C88-DB6B-43D7-845E-5791F3C10158}"/>
    <cellStyle name="Comma 4 2 3 3 3 3" xfId="5438" xr:uid="{00000000-0005-0000-0000-000092080000}"/>
    <cellStyle name="Comma 4 2 3 3 3 3 2" xfId="13888" xr:uid="{71138A98-C1AE-4BEE-8069-3AC4DC5678A8}"/>
    <cellStyle name="Comma 4 2 3 3 3 3 3" xfId="22328" xr:uid="{50B77817-9824-40BB-8DB1-9081731C68CC}"/>
    <cellStyle name="Comma 4 2 3 3 3 4" xfId="9670" xr:uid="{63A20708-6C28-43C6-8458-F4429B54844E}"/>
    <cellStyle name="Comma 4 2 3 3 3 5" xfId="18111" xr:uid="{B92B8FC1-D832-4D5E-B32E-39E71533CB2D}"/>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70CE496F-E6BF-4ECA-BCE9-F6983B0067D1}"/>
    <cellStyle name="Comma 4 2 3 3 4 2 2 3" xfId="24886" xr:uid="{096BF504-0FC5-4507-90D7-9BD1BFDC355D}"/>
    <cellStyle name="Comma 4 2 3 3 4 2 3" xfId="12228" xr:uid="{6965BBB9-5B1D-4F6F-9B89-584D166EB113}"/>
    <cellStyle name="Comma 4 2 3 3 4 2 4" xfId="20669" xr:uid="{28456A8A-13B1-4FE9-BA36-73B2B20DFD2B}"/>
    <cellStyle name="Comma 4 2 3 3 4 3" xfId="5851" xr:uid="{00000000-0005-0000-0000-000096080000}"/>
    <cellStyle name="Comma 4 2 3 3 4 3 2" xfId="14301" xr:uid="{0707CF46-C8FB-4682-8AEC-116F7FD8348A}"/>
    <cellStyle name="Comma 4 2 3 3 4 3 3" xfId="22741" xr:uid="{5C4807E4-8124-48DB-B80F-226E07232BA2}"/>
    <cellStyle name="Comma 4 2 3 3 4 4" xfId="10083" xr:uid="{A76D3D22-815A-4C38-816D-B8248F05652D}"/>
    <cellStyle name="Comma 4 2 3 3 4 5" xfId="18524" xr:uid="{F0DDD191-C3E6-4CD6-A2CE-A8B01697D5F4}"/>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F03286F9-6D0C-4A72-8447-C21DFD6D4D2E}"/>
    <cellStyle name="Comma 4 2 3 3 5 2 2 3" xfId="25299" xr:uid="{43A640E6-13AC-4FBE-9DB6-2472E611F5AD}"/>
    <cellStyle name="Comma 4 2 3 3 5 2 3" xfId="12641" xr:uid="{CB0E372E-D5B6-4A6C-8499-11FD603F8926}"/>
    <cellStyle name="Comma 4 2 3 3 5 2 4" xfId="21082" xr:uid="{893AC01F-298E-444D-9B72-DE95D6132119}"/>
    <cellStyle name="Comma 4 2 3 3 5 3" xfId="6264" xr:uid="{00000000-0005-0000-0000-00009A080000}"/>
    <cellStyle name="Comma 4 2 3 3 5 3 2" xfId="14714" xr:uid="{6CEF05BC-27CD-4050-84C8-2BC9E99AF739}"/>
    <cellStyle name="Comma 4 2 3 3 5 3 3" xfId="23154" xr:uid="{AA3B3B68-4C1B-45E3-8F9C-861CE4407B19}"/>
    <cellStyle name="Comma 4 2 3 3 5 4" xfId="10496" xr:uid="{087BE441-F797-4CB4-BB18-CA769D37EB37}"/>
    <cellStyle name="Comma 4 2 3 3 5 5" xfId="18937" xr:uid="{1374EEAD-54C5-4A74-8F8B-F8D0B1EE4379}"/>
    <cellStyle name="Comma 4 2 3 3 6" xfId="2393" xr:uid="{00000000-0005-0000-0000-00009B080000}"/>
    <cellStyle name="Comma 4 2 3 3 6 2" xfId="6677" xr:uid="{00000000-0005-0000-0000-00009C080000}"/>
    <cellStyle name="Comma 4 2 3 3 6 2 2" xfId="15127" xr:uid="{4776C6D1-3A7D-49A5-94C4-83DECFE16DA2}"/>
    <cellStyle name="Comma 4 2 3 3 6 2 3" xfId="23567" xr:uid="{E75B3123-BB15-4D56-9782-F2B8A1E3B7D8}"/>
    <cellStyle name="Comma 4 2 3 3 6 3" xfId="10909" xr:uid="{E400CE79-9768-4F80-9917-AD60D3F84386}"/>
    <cellStyle name="Comma 4 2 3 3 6 4" xfId="19350" xr:uid="{386348F3-38B1-455C-850B-32428935BF52}"/>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18BCE7DA-84B4-4919-A0AC-1BCEBBBF057D}"/>
    <cellStyle name="Comma 4 2 3 3 8 2 3" xfId="23884" xr:uid="{00C186DA-8555-4E8B-9629-41862ACC13FE}"/>
    <cellStyle name="Comma 4 2 3 3 8 3" xfId="11226" xr:uid="{75496875-3F7B-4A92-9417-A300A228BF86}"/>
    <cellStyle name="Comma 4 2 3 3 8 4" xfId="19667" xr:uid="{3521F915-3CAE-462C-AB81-72C88AF14D67}"/>
    <cellStyle name="Comma 4 2 3 3 9" xfId="4611" xr:uid="{00000000-0005-0000-0000-0000A0080000}"/>
    <cellStyle name="Comma 4 2 3 3 9 2" xfId="13061" xr:uid="{E79D03C0-0FFC-426E-B78F-38E853120AA8}"/>
    <cellStyle name="Comma 4 2 3 3 9 3" xfId="21501" xr:uid="{66D8844A-25C7-4457-B9AF-C5F1E0466312}"/>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1441520B-5CA6-4838-88CB-5FCB2593D0EE}"/>
    <cellStyle name="Comma 4 2 3 4 2 2 3" xfId="24057" xr:uid="{513846B5-51FA-4D84-9D6E-3B1FD09827F4}"/>
    <cellStyle name="Comma 4 2 3 4 2 3" xfId="11399" xr:uid="{3C24A262-F412-4544-8CA0-87495D97687F}"/>
    <cellStyle name="Comma 4 2 3 4 2 4" xfId="19840" xr:uid="{7B5E1F77-B61A-41D1-A6FA-A4E8EE3970D2}"/>
    <cellStyle name="Comma 4 2 3 4 3" xfId="5022" xr:uid="{00000000-0005-0000-0000-0000A4080000}"/>
    <cellStyle name="Comma 4 2 3 4 3 2" xfId="13472" xr:uid="{7EBDDD74-DA2E-4F77-B4EB-C15A6071C58F}"/>
    <cellStyle name="Comma 4 2 3 4 3 3" xfId="21912" xr:uid="{3AD2BBBE-2592-4633-B230-23983ACBA08A}"/>
    <cellStyle name="Comma 4 2 3 4 4" xfId="9254" xr:uid="{517AFDE2-A0A3-42CE-89AF-258725DC1897}"/>
    <cellStyle name="Comma 4 2 3 4 5" xfId="17695" xr:uid="{1E7A829B-1924-4A68-8C2A-14D70218961C}"/>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D58EC582-22A1-4125-B354-0003061FBA14}"/>
    <cellStyle name="Comma 4 2 3 5 2 2 3" xfId="24470" xr:uid="{4AC9CAED-7AF4-40E0-8422-2938CF87BDB3}"/>
    <cellStyle name="Comma 4 2 3 5 2 3" xfId="11812" xr:uid="{15C1B516-A0A4-4837-A956-8CFFD8AE574A}"/>
    <cellStyle name="Comma 4 2 3 5 2 4" xfId="20253" xr:uid="{D36E920E-915D-4F29-AC88-38BB54F97161}"/>
    <cellStyle name="Comma 4 2 3 5 3" xfId="5435" xr:uid="{00000000-0005-0000-0000-0000A8080000}"/>
    <cellStyle name="Comma 4 2 3 5 3 2" xfId="13885" xr:uid="{15335CF8-122E-40E1-9787-B2DB4A11D73C}"/>
    <cellStyle name="Comma 4 2 3 5 3 3" xfId="22325" xr:uid="{5824A881-0723-41EF-96E5-F00D18065667}"/>
    <cellStyle name="Comma 4 2 3 5 4" xfId="9667" xr:uid="{7380C880-CD05-4C6E-A213-D94F20C084D6}"/>
    <cellStyle name="Comma 4 2 3 5 5" xfId="18108" xr:uid="{11C47745-86F7-49FF-AC97-D701B73862DE}"/>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09498173-630C-408D-AF4F-4915E0BF2E3F}"/>
    <cellStyle name="Comma 4 2 3 6 2 2 3" xfId="24883" xr:uid="{B68C39D0-A86C-4512-BDC5-1AC8173AFB0F}"/>
    <cellStyle name="Comma 4 2 3 6 2 3" xfId="12225" xr:uid="{ED7933A1-629A-49D2-A3E3-7FC1205D6DD6}"/>
    <cellStyle name="Comma 4 2 3 6 2 4" xfId="20666" xr:uid="{8FD32EC0-FF23-4634-B0DA-0E206546AD3C}"/>
    <cellStyle name="Comma 4 2 3 6 3" xfId="5848" xr:uid="{00000000-0005-0000-0000-0000AC080000}"/>
    <cellStyle name="Comma 4 2 3 6 3 2" xfId="14298" xr:uid="{9C627757-82DE-45B4-B557-37CBBEBFE2B5}"/>
    <cellStyle name="Comma 4 2 3 6 3 3" xfId="22738" xr:uid="{0A412FEC-4423-4020-AB74-0FEF4A4FC241}"/>
    <cellStyle name="Comma 4 2 3 6 4" xfId="10080" xr:uid="{3A8F07C0-0F4A-4B6F-AD59-0F839CDAA81F}"/>
    <cellStyle name="Comma 4 2 3 6 5" xfId="18521" xr:uid="{ACA7B3D3-1A07-43CA-818F-61541EEB6400}"/>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64538B26-48EC-4B5A-9213-EC071B620A06}"/>
    <cellStyle name="Comma 4 2 3 7 2 2 3" xfId="25296" xr:uid="{9314E671-C5D5-421C-AE91-8BABB02904A8}"/>
    <cellStyle name="Comma 4 2 3 7 2 3" xfId="12638" xr:uid="{6F7B8031-FABC-461A-A7CB-7530D9992956}"/>
    <cellStyle name="Comma 4 2 3 7 2 4" xfId="21079" xr:uid="{3CE47FE6-0B65-4B30-B29C-642F3EBC445C}"/>
    <cellStyle name="Comma 4 2 3 7 3" xfId="6261" xr:uid="{00000000-0005-0000-0000-0000B0080000}"/>
    <cellStyle name="Comma 4 2 3 7 3 2" xfId="14711" xr:uid="{B1B742DE-4E3A-4386-86B7-8A52019335AF}"/>
    <cellStyle name="Comma 4 2 3 7 3 3" xfId="23151" xr:uid="{173D1C0C-FA3B-4A06-9E6B-41E4F0B55D76}"/>
    <cellStyle name="Comma 4 2 3 7 4" xfId="10493" xr:uid="{7BA75F6D-30EB-4C36-9D5B-357CE7BBF39D}"/>
    <cellStyle name="Comma 4 2 3 7 5" xfId="18934" xr:uid="{DEB9546B-BF98-4315-899C-8428D64C50FA}"/>
    <cellStyle name="Comma 4 2 3 8" xfId="2390" xr:uid="{00000000-0005-0000-0000-0000B1080000}"/>
    <cellStyle name="Comma 4 2 3 8 2" xfId="6674" xr:uid="{00000000-0005-0000-0000-0000B2080000}"/>
    <cellStyle name="Comma 4 2 3 8 2 2" xfId="15124" xr:uid="{8B8B7088-6F28-4AD8-9C94-EB1DFFB8C963}"/>
    <cellStyle name="Comma 4 2 3 8 2 3" xfId="23564" xr:uid="{807809CF-AC07-4204-B482-98A000D5879B}"/>
    <cellStyle name="Comma 4 2 3 8 3" xfId="10906" xr:uid="{B09F39BD-0387-4C73-B8E7-7409C3413AA2}"/>
    <cellStyle name="Comma 4 2 3 8 4" xfId="19347" xr:uid="{9B7103C1-8CD6-4C73-9722-34CB694EF30A}"/>
    <cellStyle name="Comma 4 2 3 9" xfId="2373" xr:uid="{00000000-0005-0000-0000-0000B3080000}"/>
    <cellStyle name="Comma 4 2 4" xfId="140" xr:uid="{00000000-0005-0000-0000-0000B4080000}"/>
    <cellStyle name="Comma 4 2 4 10" xfId="4612" xr:uid="{00000000-0005-0000-0000-0000B5080000}"/>
    <cellStyle name="Comma 4 2 4 10 2" xfId="13062" xr:uid="{9FA36D08-B331-41B2-8DF0-2CB57E8F4CC1}"/>
    <cellStyle name="Comma 4 2 4 10 3" xfId="21502" xr:uid="{02DF6ED1-87A4-41C1-A304-2D9AB2DCD91B}"/>
    <cellStyle name="Comma 4 2 4 11" xfId="8844" xr:uid="{D52338AC-209F-475E-8504-C158D24D449A}"/>
    <cellStyle name="Comma 4 2 4 12" xfId="17285" xr:uid="{211C1F2B-DC64-4FFB-B5A6-0F3ABBB602AE}"/>
    <cellStyle name="Comma 4 2 4 2" xfId="141" xr:uid="{00000000-0005-0000-0000-0000B6080000}"/>
    <cellStyle name="Comma 4 2 4 2 10" xfId="8845" xr:uid="{B2F9DC93-2978-4CE7-A851-DC1DC64106D2}"/>
    <cellStyle name="Comma 4 2 4 2 11" xfId="17286" xr:uid="{437F17F7-ED32-44F9-856A-6C015C4AD812}"/>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FC1B300E-5044-44D9-A472-06543417489F}"/>
    <cellStyle name="Comma 4 2 4 2 2 2 2 3" xfId="24062" xr:uid="{3B2CB4A5-E29A-4CE0-B784-1F9F21FFAF1D}"/>
    <cellStyle name="Comma 4 2 4 2 2 2 3" xfId="11404" xr:uid="{1BC15EC9-C641-40EA-98AA-BD0DD75D8204}"/>
    <cellStyle name="Comma 4 2 4 2 2 2 4" xfId="19845" xr:uid="{47D7AF24-309A-4DA1-8811-436B63692AE6}"/>
    <cellStyle name="Comma 4 2 4 2 2 3" xfId="5027" xr:uid="{00000000-0005-0000-0000-0000BA080000}"/>
    <cellStyle name="Comma 4 2 4 2 2 3 2" xfId="13477" xr:uid="{E1E230B2-FC80-4619-9403-917FA0AD2FF2}"/>
    <cellStyle name="Comma 4 2 4 2 2 3 3" xfId="21917" xr:uid="{672BF2B2-42AE-4FEA-BC2A-88775A763A7F}"/>
    <cellStyle name="Comma 4 2 4 2 2 4" xfId="9259" xr:uid="{25E15EDE-CF6B-4446-A93B-51B4122F1601}"/>
    <cellStyle name="Comma 4 2 4 2 2 5" xfId="17700" xr:uid="{F8661CA5-34F9-436C-A674-B742820B87E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344D4581-0AA6-4FAC-8221-65DA23AB2FC9}"/>
    <cellStyle name="Comma 4 2 4 2 3 2 2 3" xfId="24475" xr:uid="{60290368-1E3F-4B8E-839C-F61537059D39}"/>
    <cellStyle name="Comma 4 2 4 2 3 2 3" xfId="11817" xr:uid="{8C83184A-48DF-41C4-91F1-42E2B2D6423A}"/>
    <cellStyle name="Comma 4 2 4 2 3 2 4" xfId="20258" xr:uid="{8670AE0C-5F11-4BA4-8529-037F9E3B5111}"/>
    <cellStyle name="Comma 4 2 4 2 3 3" xfId="5440" xr:uid="{00000000-0005-0000-0000-0000BE080000}"/>
    <cellStyle name="Comma 4 2 4 2 3 3 2" xfId="13890" xr:uid="{B6AD4089-362E-46F1-BCAC-3FE317C32425}"/>
    <cellStyle name="Comma 4 2 4 2 3 3 3" xfId="22330" xr:uid="{3B31360D-25A2-421C-B1EE-ECDFC785235D}"/>
    <cellStyle name="Comma 4 2 4 2 3 4" xfId="9672" xr:uid="{FCF39F37-28C5-49DC-A221-72F0C806FC3F}"/>
    <cellStyle name="Comma 4 2 4 2 3 5" xfId="18113" xr:uid="{22721A5D-37E1-48C6-99F1-F4D0BF8899F9}"/>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8238FEFC-2400-46F4-BEDF-607EAEF2E2EA}"/>
    <cellStyle name="Comma 4 2 4 2 4 2 2 3" xfId="24888" xr:uid="{FA5A8179-5A84-42CC-A69A-9BC073C6E541}"/>
    <cellStyle name="Comma 4 2 4 2 4 2 3" xfId="12230" xr:uid="{9D890AEC-FEE7-4A3E-97A4-C8A16C11A701}"/>
    <cellStyle name="Comma 4 2 4 2 4 2 4" xfId="20671" xr:uid="{72A6539B-178E-4227-B1DA-6648556FB585}"/>
    <cellStyle name="Comma 4 2 4 2 4 3" xfId="5853" xr:uid="{00000000-0005-0000-0000-0000C2080000}"/>
    <cellStyle name="Comma 4 2 4 2 4 3 2" xfId="14303" xr:uid="{7C8D6605-A458-4700-B184-037F49FF17A5}"/>
    <cellStyle name="Comma 4 2 4 2 4 3 3" xfId="22743" xr:uid="{D7EC4715-F757-4044-B467-792430046CBA}"/>
    <cellStyle name="Comma 4 2 4 2 4 4" xfId="10085" xr:uid="{9D3C040A-EC26-40BF-BC7C-89B4965329DB}"/>
    <cellStyle name="Comma 4 2 4 2 4 5" xfId="18526" xr:uid="{0852B433-0C1E-4496-B1CB-DD3C9AC43BF9}"/>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22CA62E4-8B85-40E5-B5A7-80AF0EE3B96E}"/>
    <cellStyle name="Comma 4 2 4 2 5 2 2 3" xfId="25301" xr:uid="{DA778F8C-5A43-4EA0-BD44-0465BA6C42CD}"/>
    <cellStyle name="Comma 4 2 4 2 5 2 3" xfId="12643" xr:uid="{91152958-FFC6-490F-8933-3CF50BC066D6}"/>
    <cellStyle name="Comma 4 2 4 2 5 2 4" xfId="21084" xr:uid="{4AABCAB2-0AA4-46B6-BFF4-6C86CB9A8305}"/>
    <cellStyle name="Comma 4 2 4 2 5 3" xfId="6266" xr:uid="{00000000-0005-0000-0000-0000C6080000}"/>
    <cellStyle name="Comma 4 2 4 2 5 3 2" xfId="14716" xr:uid="{5719694B-99CC-46AA-8D8F-370BBB5031DA}"/>
    <cellStyle name="Comma 4 2 4 2 5 3 3" xfId="23156" xr:uid="{915B1890-B611-4C5B-AE31-E99D9B410DA6}"/>
    <cellStyle name="Comma 4 2 4 2 5 4" xfId="10498" xr:uid="{9B0DEA35-0EFA-435C-910B-2CF8A6E37C35}"/>
    <cellStyle name="Comma 4 2 4 2 5 5" xfId="18939" xr:uid="{3BC9E01B-5187-4AB6-9DB9-4477FEC559F7}"/>
    <cellStyle name="Comma 4 2 4 2 6" xfId="2395" xr:uid="{00000000-0005-0000-0000-0000C7080000}"/>
    <cellStyle name="Comma 4 2 4 2 6 2" xfId="6679" xr:uid="{00000000-0005-0000-0000-0000C8080000}"/>
    <cellStyle name="Comma 4 2 4 2 6 2 2" xfId="15129" xr:uid="{782F19B0-AD41-48C6-93FB-21B100137B8B}"/>
    <cellStyle name="Comma 4 2 4 2 6 2 3" xfId="23569" xr:uid="{6019039A-E61D-4B0F-8670-2BC798CFBF27}"/>
    <cellStyle name="Comma 4 2 4 2 6 3" xfId="10911" xr:uid="{7CF32C00-C86E-47DD-9566-031345461257}"/>
    <cellStyle name="Comma 4 2 4 2 6 4" xfId="19352" xr:uid="{56E20946-39C5-4ACA-9C3D-0E306499660C}"/>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BB89F30E-908C-4F5D-B474-DFAD0588C8FC}"/>
    <cellStyle name="Comma 4 2 4 2 8 2 3" xfId="23886" xr:uid="{D620C49B-B247-4EE8-B165-890BAF46743B}"/>
    <cellStyle name="Comma 4 2 4 2 8 3" xfId="11228" xr:uid="{3F656720-33FF-48FE-AD22-6E509C61BE08}"/>
    <cellStyle name="Comma 4 2 4 2 8 4" xfId="19669" xr:uid="{90E02319-587B-464E-8743-6948B95912B7}"/>
    <cellStyle name="Comma 4 2 4 2 9" xfId="4613" xr:uid="{00000000-0005-0000-0000-0000CC080000}"/>
    <cellStyle name="Comma 4 2 4 2 9 2" xfId="13063" xr:uid="{121CC523-5A96-4257-B88B-68232550ADE5}"/>
    <cellStyle name="Comma 4 2 4 2 9 3" xfId="21503" xr:uid="{80223C7F-2D2B-4A0B-B33E-BE7EAB02D7AC}"/>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019D3948-557B-4671-BD59-19AAA471BDF6}"/>
    <cellStyle name="Comma 4 2 4 3 2 2 3" xfId="24061" xr:uid="{DE34CFED-F1DB-4CCA-AA93-D37501E501DA}"/>
    <cellStyle name="Comma 4 2 4 3 2 3" xfId="11403" xr:uid="{794495E4-A15C-40EE-B5E6-C81B02A4BFFF}"/>
    <cellStyle name="Comma 4 2 4 3 2 4" xfId="19844" xr:uid="{FAC2621F-84BE-4278-A9DF-EF2C49107A1C}"/>
    <cellStyle name="Comma 4 2 4 3 3" xfId="5026" xr:uid="{00000000-0005-0000-0000-0000D0080000}"/>
    <cellStyle name="Comma 4 2 4 3 3 2" xfId="13476" xr:uid="{929071F5-8200-4ED0-A38A-6036CC658428}"/>
    <cellStyle name="Comma 4 2 4 3 3 3" xfId="21916" xr:uid="{C8F879DF-B585-4DDF-8F05-2F1E8E2F99E0}"/>
    <cellStyle name="Comma 4 2 4 3 4" xfId="9258" xr:uid="{DA40F966-02A7-498F-B228-6A791E6DD01C}"/>
    <cellStyle name="Comma 4 2 4 3 5" xfId="17699" xr:uid="{7A68D33C-AB92-411E-BEF1-AD8427015C80}"/>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47240CA4-700D-4DF3-81F5-F3F450218B63}"/>
    <cellStyle name="Comma 4 2 4 4 2 2 3" xfId="24474" xr:uid="{62201CF2-0817-4077-91E9-3EFF59C7B24A}"/>
    <cellStyle name="Comma 4 2 4 4 2 3" xfId="11816" xr:uid="{12D85991-95F5-4AD8-AC9C-9E44952F96C6}"/>
    <cellStyle name="Comma 4 2 4 4 2 4" xfId="20257" xr:uid="{814B4847-525E-4C1E-9B8A-73FCEF658342}"/>
    <cellStyle name="Comma 4 2 4 4 3" xfId="5439" xr:uid="{00000000-0005-0000-0000-0000D4080000}"/>
    <cellStyle name="Comma 4 2 4 4 3 2" xfId="13889" xr:uid="{CE51EE8B-AB0E-4462-9F70-FA1E719D5891}"/>
    <cellStyle name="Comma 4 2 4 4 3 3" xfId="22329" xr:uid="{E27728A2-B74B-4219-AE6E-A92A1DF57799}"/>
    <cellStyle name="Comma 4 2 4 4 4" xfId="9671" xr:uid="{210BDC08-5FEF-4FCA-9AEC-95C4DC3AEE55}"/>
    <cellStyle name="Comma 4 2 4 4 5" xfId="18112" xr:uid="{A87A5FE3-02CA-435D-9428-91CE3FA2085B}"/>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04686300-363F-4E85-A4BD-703265104BB0}"/>
    <cellStyle name="Comma 4 2 4 5 2 2 3" xfId="24887" xr:uid="{A1F94A3B-A923-423F-B42A-6684292FA33B}"/>
    <cellStyle name="Comma 4 2 4 5 2 3" xfId="12229" xr:uid="{0359561D-4A43-4263-9B93-3A6C61CA0189}"/>
    <cellStyle name="Comma 4 2 4 5 2 4" xfId="20670" xr:uid="{6BC07498-0896-45EF-A7DF-784E7B477366}"/>
    <cellStyle name="Comma 4 2 4 5 3" xfId="5852" xr:uid="{00000000-0005-0000-0000-0000D8080000}"/>
    <cellStyle name="Comma 4 2 4 5 3 2" xfId="14302" xr:uid="{DF7A2647-8DA5-407D-A98B-E4E974235581}"/>
    <cellStyle name="Comma 4 2 4 5 3 3" xfId="22742" xr:uid="{D22D4C50-A507-4CFA-B50F-9ED67EE66FC8}"/>
    <cellStyle name="Comma 4 2 4 5 4" xfId="10084" xr:uid="{954D4A60-6A84-43C6-BA50-807E7A1CB631}"/>
    <cellStyle name="Comma 4 2 4 5 5" xfId="18525" xr:uid="{DEAF15E2-8B59-464D-ACE5-CB5400D18006}"/>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36FC4728-A8E8-4EF2-8744-54286EF36FE9}"/>
    <cellStyle name="Comma 4 2 4 6 2 2 3" xfId="25300" xr:uid="{527A0059-11DC-4EAA-9393-4622D8D109BA}"/>
    <cellStyle name="Comma 4 2 4 6 2 3" xfId="12642" xr:uid="{6F29CA22-D784-4848-9F62-0CCD2873468F}"/>
    <cellStyle name="Comma 4 2 4 6 2 4" xfId="21083" xr:uid="{B0B28678-400B-421E-BDF7-3BA3F4A5B151}"/>
    <cellStyle name="Comma 4 2 4 6 3" xfId="6265" xr:uid="{00000000-0005-0000-0000-0000DC080000}"/>
    <cellStyle name="Comma 4 2 4 6 3 2" xfId="14715" xr:uid="{15F296F2-32B1-4652-AF83-582DDA54E52A}"/>
    <cellStyle name="Comma 4 2 4 6 3 3" xfId="23155" xr:uid="{B144C7DA-45EA-45B4-AF1D-64B8A95953F2}"/>
    <cellStyle name="Comma 4 2 4 6 4" xfId="10497" xr:uid="{45546420-075C-462D-80DC-8142C976AB1E}"/>
    <cellStyle name="Comma 4 2 4 6 5" xfId="18938" xr:uid="{8998FFF1-5851-408D-9A0D-E48802F3B8B8}"/>
    <cellStyle name="Comma 4 2 4 7" xfId="2394" xr:uid="{00000000-0005-0000-0000-0000DD080000}"/>
    <cellStyle name="Comma 4 2 4 7 2" xfId="6678" xr:uid="{00000000-0005-0000-0000-0000DE080000}"/>
    <cellStyle name="Comma 4 2 4 7 2 2" xfId="15128" xr:uid="{A588789F-38C7-4BAF-88F0-9564570A057E}"/>
    <cellStyle name="Comma 4 2 4 7 2 3" xfId="23568" xr:uid="{4D4482D1-645B-4F7D-B5F3-A1334998D911}"/>
    <cellStyle name="Comma 4 2 4 7 3" xfId="10910" xr:uid="{12F073FD-DC92-40B4-B0E8-E6E53E95571E}"/>
    <cellStyle name="Comma 4 2 4 7 4" xfId="19351" xr:uid="{83248609-1B50-4D0C-8D18-320E69E0C74B}"/>
    <cellStyle name="Comma 4 2 4 8" xfId="2369" xr:uid="{00000000-0005-0000-0000-0000DF080000}"/>
    <cellStyle name="Comma 4 2 4 9" xfId="2772" xr:uid="{00000000-0005-0000-0000-0000E0080000}"/>
    <cellStyle name="Comma 4 2 4 9 2" xfId="6995" xr:uid="{00000000-0005-0000-0000-0000E1080000}"/>
    <cellStyle name="Comma 4 2 4 9 2 2" xfId="15445" xr:uid="{97180D9F-DCBA-49AF-BC67-578F120C6C55}"/>
    <cellStyle name="Comma 4 2 4 9 2 3" xfId="23885" xr:uid="{C8E5FD93-DE21-4941-9A04-A969FC54AA9B}"/>
    <cellStyle name="Comma 4 2 4 9 3" xfId="11227" xr:uid="{B17E7027-34A3-4D71-8FA4-409CF06F9B21}"/>
    <cellStyle name="Comma 4 2 4 9 4" xfId="19668" xr:uid="{FBB93C2D-DD26-43BD-95A4-EC8818DC6F92}"/>
    <cellStyle name="Comma 4 2 5" xfId="142" xr:uid="{00000000-0005-0000-0000-0000E2080000}"/>
    <cellStyle name="Comma 4 2 5 10" xfId="8846" xr:uid="{E0EE78BB-0FDB-48E7-9EE3-28E4F713A742}"/>
    <cellStyle name="Comma 4 2 5 11" xfId="17287" xr:uid="{3C2FC930-DB4E-4275-ADFE-1698E5C419A3}"/>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BC3C7A2B-73B6-454C-B6DC-F92778FA3A02}"/>
    <cellStyle name="Comma 4 2 5 2 2 2 3" xfId="24063" xr:uid="{E08692E8-C616-4155-AB38-9E3F88A15A84}"/>
    <cellStyle name="Comma 4 2 5 2 2 3" xfId="11405" xr:uid="{43B113F0-71D4-4B42-8488-281F4CEBFEA6}"/>
    <cellStyle name="Comma 4 2 5 2 2 4" xfId="19846" xr:uid="{9FABEB73-A03B-4DF9-A240-6CAEBA867836}"/>
    <cellStyle name="Comma 4 2 5 2 3" xfId="5028" xr:uid="{00000000-0005-0000-0000-0000E6080000}"/>
    <cellStyle name="Comma 4 2 5 2 3 2" xfId="13478" xr:uid="{E6A46BFA-2051-4664-B5FB-267AB0E53AE9}"/>
    <cellStyle name="Comma 4 2 5 2 3 3" xfId="21918" xr:uid="{DC73E0BF-E8BE-4353-BB91-433E75DBA65F}"/>
    <cellStyle name="Comma 4 2 5 2 4" xfId="9260" xr:uid="{0165B137-36A4-4CB7-B22E-8E199618CAF8}"/>
    <cellStyle name="Comma 4 2 5 2 5" xfId="17701" xr:uid="{00401EFF-4EF2-40DD-AE85-7D07975456EE}"/>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8362E0E-7CA8-4C66-B2B2-DAF6302EA160}"/>
    <cellStyle name="Comma 4 2 5 3 2 2 3" xfId="24476" xr:uid="{F4B226BC-1C4B-4002-9517-DD0D9F2DABFF}"/>
    <cellStyle name="Comma 4 2 5 3 2 3" xfId="11818" xr:uid="{050520FA-3AE0-4573-9AFF-114B164549CE}"/>
    <cellStyle name="Comma 4 2 5 3 2 4" xfId="20259" xr:uid="{BE18082A-DC79-463F-BE99-BF1000F803B5}"/>
    <cellStyle name="Comma 4 2 5 3 3" xfId="5441" xr:uid="{00000000-0005-0000-0000-0000EA080000}"/>
    <cellStyle name="Comma 4 2 5 3 3 2" xfId="13891" xr:uid="{F7A9A4C9-10D6-4970-8FB9-D5CABC2B72C5}"/>
    <cellStyle name="Comma 4 2 5 3 3 3" xfId="22331" xr:uid="{9AE2E7D5-15F4-4937-86CA-A4CB02D460BD}"/>
    <cellStyle name="Comma 4 2 5 3 4" xfId="9673" xr:uid="{4BA82DD7-0B5E-4D03-8598-0B39259D58F7}"/>
    <cellStyle name="Comma 4 2 5 3 5" xfId="18114" xr:uid="{8032B70B-C60B-4F1E-9B39-E5CD66270102}"/>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A6453E7F-9479-41FF-9D28-1D816168A29C}"/>
    <cellStyle name="Comma 4 2 5 4 2 2 3" xfId="24889" xr:uid="{D64C188F-75F8-4C77-A3B5-03D0F2FAE8FD}"/>
    <cellStyle name="Comma 4 2 5 4 2 3" xfId="12231" xr:uid="{41C7182A-F802-48B7-9B87-8DA9DBCDE554}"/>
    <cellStyle name="Comma 4 2 5 4 2 4" xfId="20672" xr:uid="{0E714A5E-28C6-4446-A4CC-01D4B3DDDF7C}"/>
    <cellStyle name="Comma 4 2 5 4 3" xfId="5854" xr:uid="{00000000-0005-0000-0000-0000EE080000}"/>
    <cellStyle name="Comma 4 2 5 4 3 2" xfId="14304" xr:uid="{A2FA64E6-A53B-4D94-9BDA-9925797435B8}"/>
    <cellStyle name="Comma 4 2 5 4 3 3" xfId="22744" xr:uid="{17EAB0FF-F679-4F33-A929-789CEC935DEC}"/>
    <cellStyle name="Comma 4 2 5 4 4" xfId="10086" xr:uid="{56DE0ACC-7529-41C7-8813-FA477D602AB4}"/>
    <cellStyle name="Comma 4 2 5 4 5" xfId="18527" xr:uid="{D5A094E4-F47B-4A02-A89F-9339AFA0D8AC}"/>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C14805F8-A3C3-4FA2-8757-D4F95685AC8C}"/>
    <cellStyle name="Comma 4 2 5 5 2 2 3" xfId="25302" xr:uid="{FCFACCAE-B6EC-43D5-BAD9-C6C962252E4E}"/>
    <cellStyle name="Comma 4 2 5 5 2 3" xfId="12644" xr:uid="{1C4AFFB4-D3AE-4306-BD73-BC5911984776}"/>
    <cellStyle name="Comma 4 2 5 5 2 4" xfId="21085" xr:uid="{20CB4EA8-08F3-4900-B33D-17F36DFFE99A}"/>
    <cellStyle name="Comma 4 2 5 5 3" xfId="6267" xr:uid="{00000000-0005-0000-0000-0000F2080000}"/>
    <cellStyle name="Comma 4 2 5 5 3 2" xfId="14717" xr:uid="{4DA2B8E9-5982-4858-A562-C33C3CCF79FE}"/>
    <cellStyle name="Comma 4 2 5 5 3 3" xfId="23157" xr:uid="{55755EF4-4114-4504-8606-9FA7018866E7}"/>
    <cellStyle name="Comma 4 2 5 5 4" xfId="10499" xr:uid="{1F081464-59B7-4E92-84D2-9E20B294F9E6}"/>
    <cellStyle name="Comma 4 2 5 5 5" xfId="18940" xr:uid="{AA5E8CC1-3DF9-4F4E-B134-AFFAB2237473}"/>
    <cellStyle name="Comma 4 2 5 6" xfId="2396" xr:uid="{00000000-0005-0000-0000-0000F3080000}"/>
    <cellStyle name="Comma 4 2 5 6 2" xfId="6680" xr:uid="{00000000-0005-0000-0000-0000F4080000}"/>
    <cellStyle name="Comma 4 2 5 6 2 2" xfId="15130" xr:uid="{B34834FA-2128-4B56-BF5F-BA5A97F34EE1}"/>
    <cellStyle name="Comma 4 2 5 6 2 3" xfId="23570" xr:uid="{129664F4-FAAE-4948-87E3-D5A2631EE4DE}"/>
    <cellStyle name="Comma 4 2 5 6 3" xfId="10912" xr:uid="{BF0BF43D-5FAB-44E5-B381-7499B8C364D3}"/>
    <cellStyle name="Comma 4 2 5 6 4" xfId="19353" xr:uid="{47E0FE3E-BE0D-4800-AE35-A46A7A395B94}"/>
    <cellStyle name="Comma 4 2 5 7" xfId="2367" xr:uid="{00000000-0005-0000-0000-0000F5080000}"/>
    <cellStyle name="Comma 4 2 5 8" xfId="2774" xr:uid="{00000000-0005-0000-0000-0000F6080000}"/>
    <cellStyle name="Comma 4 2 5 8 2" xfId="6997" xr:uid="{00000000-0005-0000-0000-0000F7080000}"/>
    <cellStyle name="Comma 4 2 5 8 2 2" xfId="15447" xr:uid="{C2AC982F-4A90-4E96-AFDD-9796414F2C3C}"/>
    <cellStyle name="Comma 4 2 5 8 2 3" xfId="23887" xr:uid="{D85EFDEA-E983-47E1-BC6E-14C00AAB1392}"/>
    <cellStyle name="Comma 4 2 5 8 3" xfId="11229" xr:uid="{DBC583AB-57CB-495D-891A-62D8E9A09D58}"/>
    <cellStyle name="Comma 4 2 5 8 4" xfId="19670" xr:uid="{868247B2-5653-4DCD-BA24-736FDC0255CD}"/>
    <cellStyle name="Comma 4 2 5 9" xfId="4614" xr:uid="{00000000-0005-0000-0000-0000F8080000}"/>
    <cellStyle name="Comma 4 2 5 9 2" xfId="13064" xr:uid="{EA2A2A58-9F55-4372-B454-2749CD3DE7E5}"/>
    <cellStyle name="Comma 4 2 5 9 3" xfId="21504" xr:uid="{3C8C508E-138B-4E82-B31D-A4812C5DD84B}"/>
    <cellStyle name="Comma 4 2 6" xfId="143" xr:uid="{00000000-0005-0000-0000-0000F9080000}"/>
    <cellStyle name="Comma 4 2 6 10" xfId="8847" xr:uid="{34A39BE6-CA8B-44D8-9578-2DD8546B170A}"/>
    <cellStyle name="Comma 4 2 6 11" xfId="17288" xr:uid="{92F1989C-E2D3-4609-B696-D9142A0E554B}"/>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A573853A-4603-44A1-A2CA-52C134B65C7B}"/>
    <cellStyle name="Comma 4 2 6 2 2 2 3" xfId="24064" xr:uid="{B76BFF6C-7CF0-4891-A6BF-13395AF0EF6F}"/>
    <cellStyle name="Comma 4 2 6 2 2 3" xfId="11406" xr:uid="{F46065BB-4BCD-464D-8387-85DF40BBF138}"/>
    <cellStyle name="Comma 4 2 6 2 2 4" xfId="19847" xr:uid="{76C60D60-3629-47C3-81F2-DED4A97A4640}"/>
    <cellStyle name="Comma 4 2 6 2 3" xfId="5029" xr:uid="{00000000-0005-0000-0000-0000FD080000}"/>
    <cellStyle name="Comma 4 2 6 2 3 2" xfId="13479" xr:uid="{C6441562-B153-4E16-B083-667277574935}"/>
    <cellStyle name="Comma 4 2 6 2 3 3" xfId="21919" xr:uid="{9C8E04FA-B0F8-40C8-B0C7-794BF912F7FF}"/>
    <cellStyle name="Comma 4 2 6 2 4" xfId="9261" xr:uid="{5E69288D-2278-49F7-94D5-FB32BB821077}"/>
    <cellStyle name="Comma 4 2 6 2 5" xfId="17702" xr:uid="{F14E3489-A1CA-41FA-A185-7FD256F37DEB}"/>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BCB44C99-DEEA-458E-A1BF-A373A7220483}"/>
    <cellStyle name="Comma 4 2 6 3 2 2 3" xfId="24477" xr:uid="{D1FAB7DA-FE29-4831-868A-9DC3EE7AC2CF}"/>
    <cellStyle name="Comma 4 2 6 3 2 3" xfId="11819" xr:uid="{E52D4463-8873-4E71-9318-1FB708EB874C}"/>
    <cellStyle name="Comma 4 2 6 3 2 4" xfId="20260" xr:uid="{CA1FC29D-FBB8-45E7-A236-9E7D3346B0CF}"/>
    <cellStyle name="Comma 4 2 6 3 3" xfId="5442" xr:uid="{00000000-0005-0000-0000-000001090000}"/>
    <cellStyle name="Comma 4 2 6 3 3 2" xfId="13892" xr:uid="{84FA7A57-47C9-472F-B582-63B80589ED41}"/>
    <cellStyle name="Comma 4 2 6 3 3 3" xfId="22332" xr:uid="{4466F18E-0738-4CC0-B9B0-939CD8FC0294}"/>
    <cellStyle name="Comma 4 2 6 3 4" xfId="9674" xr:uid="{19CD2604-475C-4F93-8854-833D4A986E03}"/>
    <cellStyle name="Comma 4 2 6 3 5" xfId="18115" xr:uid="{62EB0059-521C-4D20-BF98-10EAC0C516FB}"/>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785780EE-234B-48F2-8694-B9EFBE8D3178}"/>
    <cellStyle name="Comma 4 2 6 4 2 2 3" xfId="24890" xr:uid="{6F1187DB-E900-47CB-90E5-D0C578DEF667}"/>
    <cellStyle name="Comma 4 2 6 4 2 3" xfId="12232" xr:uid="{2AB58DD1-76CA-4F0F-9EE5-DD0A7279CCDF}"/>
    <cellStyle name="Comma 4 2 6 4 2 4" xfId="20673" xr:uid="{D048364D-D69B-4579-B612-AD1FA71C9233}"/>
    <cellStyle name="Comma 4 2 6 4 3" xfId="5855" xr:uid="{00000000-0005-0000-0000-000005090000}"/>
    <cellStyle name="Comma 4 2 6 4 3 2" xfId="14305" xr:uid="{0D36AAA2-D884-4EAB-9460-F13FEE9C9A32}"/>
    <cellStyle name="Comma 4 2 6 4 3 3" xfId="22745" xr:uid="{4EA4C99A-2397-4029-945C-5577227BE776}"/>
    <cellStyle name="Comma 4 2 6 4 4" xfId="10087" xr:uid="{B9C6A252-2475-4D37-A425-9448AC4F5A8F}"/>
    <cellStyle name="Comma 4 2 6 4 5" xfId="18528" xr:uid="{00BFF0B6-5E66-4931-B44D-10C64F8B3729}"/>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F19703A9-E48D-48EC-9043-C981620D1BDB}"/>
    <cellStyle name="Comma 4 2 6 5 2 2 3" xfId="25303" xr:uid="{DE672064-2172-47A9-9E25-15690580CCBE}"/>
    <cellStyle name="Comma 4 2 6 5 2 3" xfId="12645" xr:uid="{AD2C0112-6242-4163-B275-E45D7B67B214}"/>
    <cellStyle name="Comma 4 2 6 5 2 4" xfId="21086" xr:uid="{8F4C87C2-B26D-4B4A-9CBB-99DDDE94843A}"/>
    <cellStyle name="Comma 4 2 6 5 3" xfId="6268" xr:uid="{00000000-0005-0000-0000-000009090000}"/>
    <cellStyle name="Comma 4 2 6 5 3 2" xfId="14718" xr:uid="{CCED33F4-BDD4-44A5-9E3A-22A6C38151ED}"/>
    <cellStyle name="Comma 4 2 6 5 3 3" xfId="23158" xr:uid="{CEC84F0A-B9B4-40DE-B71F-A94A694A315D}"/>
    <cellStyle name="Comma 4 2 6 5 4" xfId="10500" xr:uid="{25D1DC03-FB94-4080-8080-877446528314}"/>
    <cellStyle name="Comma 4 2 6 5 5" xfId="18941" xr:uid="{80B35A20-CC67-434A-8876-B7CB69A8BE4A}"/>
    <cellStyle name="Comma 4 2 6 6" xfId="2397" xr:uid="{00000000-0005-0000-0000-00000A090000}"/>
    <cellStyle name="Comma 4 2 6 6 2" xfId="6681" xr:uid="{00000000-0005-0000-0000-00000B090000}"/>
    <cellStyle name="Comma 4 2 6 6 2 2" xfId="15131" xr:uid="{34E4BD1E-FFD6-4A37-BA6B-05D638A6AB10}"/>
    <cellStyle name="Comma 4 2 6 6 2 3" xfId="23571" xr:uid="{D8CB2C5E-28EE-44CB-91AC-EFD85EB533C8}"/>
    <cellStyle name="Comma 4 2 6 6 3" xfId="10913" xr:uid="{D47BF135-AB86-46D5-B589-1EF34A2B8E02}"/>
    <cellStyle name="Comma 4 2 6 6 4" xfId="19354" xr:uid="{9111231A-D684-4DF5-9163-09E9AE86C886}"/>
    <cellStyle name="Comma 4 2 6 7" xfId="2366" xr:uid="{00000000-0005-0000-0000-00000C090000}"/>
    <cellStyle name="Comma 4 2 6 8" xfId="2775" xr:uid="{00000000-0005-0000-0000-00000D090000}"/>
    <cellStyle name="Comma 4 2 6 8 2" xfId="6998" xr:uid="{00000000-0005-0000-0000-00000E090000}"/>
    <cellStyle name="Comma 4 2 6 8 2 2" xfId="15448" xr:uid="{143AD481-F577-44B7-BF7C-8CD3C7425E95}"/>
    <cellStyle name="Comma 4 2 6 8 2 3" xfId="23888" xr:uid="{7D5D4E2A-064B-4184-98D4-2BCF0B9AC236}"/>
    <cellStyle name="Comma 4 2 6 8 3" xfId="11230" xr:uid="{634FCAE1-00F9-4393-A7AB-13766AC4D6EA}"/>
    <cellStyle name="Comma 4 2 6 8 4" xfId="19671" xr:uid="{60AA23A1-F801-4820-A65D-6018E064D8BA}"/>
    <cellStyle name="Comma 4 2 6 9" xfId="4615" xr:uid="{00000000-0005-0000-0000-00000F090000}"/>
    <cellStyle name="Comma 4 2 6 9 2" xfId="13065" xr:uid="{CB67A337-7070-4FB2-B363-9D11C4E40FB7}"/>
    <cellStyle name="Comma 4 2 6 9 3" xfId="21505" xr:uid="{6A1E9B36-8BD7-4C65-8DCD-5235D821BAAA}"/>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951AB69F-75C0-4641-9CA0-ACD05A604E98}"/>
    <cellStyle name="Comma 4 3 2 10 2 3" xfId="23889" xr:uid="{D7572DB2-9E94-4A87-BEDC-CB870ED98B5D}"/>
    <cellStyle name="Comma 4 3 2 10 3" xfId="11231" xr:uid="{808C23CA-E95A-4031-B73C-CCEDA5CFB553}"/>
    <cellStyle name="Comma 4 3 2 10 4" xfId="19672" xr:uid="{C1EFC211-9E04-4D14-AF63-DCFA579DAC79}"/>
    <cellStyle name="Comma 4 3 2 11" xfId="4616" xr:uid="{00000000-0005-0000-0000-000014090000}"/>
    <cellStyle name="Comma 4 3 2 11 2" xfId="13066" xr:uid="{C1283E1A-A8A1-4257-BDA0-F55E3180E975}"/>
    <cellStyle name="Comma 4 3 2 11 3" xfId="21506" xr:uid="{912B1D9B-D611-4400-86EE-026B38448924}"/>
    <cellStyle name="Comma 4 3 2 12" xfId="8848" xr:uid="{6A8175B4-5813-4840-828E-A1F5598A2B5E}"/>
    <cellStyle name="Comma 4 3 2 13" xfId="17289" xr:uid="{61E6BBDE-F282-4FE0-97CD-2069D3060BAF}"/>
    <cellStyle name="Comma 4 3 2 2" xfId="146" xr:uid="{00000000-0005-0000-0000-000015090000}"/>
    <cellStyle name="Comma 4 3 2 2 10" xfId="4617" xr:uid="{00000000-0005-0000-0000-000016090000}"/>
    <cellStyle name="Comma 4 3 2 2 10 2" xfId="13067" xr:uid="{96B9D38A-A43E-43E9-8A87-99FF8171BC00}"/>
    <cellStyle name="Comma 4 3 2 2 10 3" xfId="21507" xr:uid="{CED4C3AA-3CC2-4E76-93E7-B5BE2E26CDD2}"/>
    <cellStyle name="Comma 4 3 2 2 11" xfId="8849" xr:uid="{E4824BA4-9FD4-4C29-AD67-C21E298FA3BA}"/>
    <cellStyle name="Comma 4 3 2 2 12" xfId="17290" xr:uid="{FA4E6DDC-2D26-41C7-9CF6-A0AB44EEA066}"/>
    <cellStyle name="Comma 4 3 2 2 2" xfId="147" xr:uid="{00000000-0005-0000-0000-000017090000}"/>
    <cellStyle name="Comma 4 3 2 2 2 10" xfId="8850" xr:uid="{08F1FCFF-F74B-4D9B-BA8B-CE76258BF8DD}"/>
    <cellStyle name="Comma 4 3 2 2 2 11" xfId="17291" xr:uid="{6EFC5BA2-1622-4AF5-921A-BB5B5E09C794}"/>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69CACC16-33AC-4E04-B07C-5F3020FA6E29}"/>
    <cellStyle name="Comma 4 3 2 2 2 2 2 2 3" xfId="24067" xr:uid="{2D094662-C115-416D-866D-9FD409B5A6D8}"/>
    <cellStyle name="Comma 4 3 2 2 2 2 2 3" xfId="11409" xr:uid="{B10EB4DB-4FAB-4286-AE05-950A4793411F}"/>
    <cellStyle name="Comma 4 3 2 2 2 2 2 4" xfId="19850" xr:uid="{5397A0FD-A7FB-48A4-B4DA-7E82A3355116}"/>
    <cellStyle name="Comma 4 3 2 2 2 2 3" xfId="5032" xr:uid="{00000000-0005-0000-0000-00001B090000}"/>
    <cellStyle name="Comma 4 3 2 2 2 2 3 2" xfId="13482" xr:uid="{56222B90-F239-4EB5-9F55-C4ECD083D48C}"/>
    <cellStyle name="Comma 4 3 2 2 2 2 3 3" xfId="21922" xr:uid="{DBF20CCF-46B5-45CC-8EF7-CFBF0D769165}"/>
    <cellStyle name="Comma 4 3 2 2 2 2 4" xfId="9264" xr:uid="{8B956969-427A-4BDF-9C83-3CF5C0450C17}"/>
    <cellStyle name="Comma 4 3 2 2 2 2 5" xfId="17705" xr:uid="{051D6EC1-AB17-466E-9FB7-9E88A45FCB48}"/>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8DCAB479-782E-4388-8B31-F281FF938ED0}"/>
    <cellStyle name="Comma 4 3 2 2 2 3 2 2 3" xfId="24480" xr:uid="{1F2EFA61-8B7B-477D-837A-D5F887AC6011}"/>
    <cellStyle name="Comma 4 3 2 2 2 3 2 3" xfId="11822" xr:uid="{88D4F500-0843-4A63-9931-0CD9A77DA2B6}"/>
    <cellStyle name="Comma 4 3 2 2 2 3 2 4" xfId="20263" xr:uid="{E4A8FA4A-4EEE-4C07-BC4F-859C3DC87DE9}"/>
    <cellStyle name="Comma 4 3 2 2 2 3 3" xfId="5445" xr:uid="{00000000-0005-0000-0000-00001F090000}"/>
    <cellStyle name="Comma 4 3 2 2 2 3 3 2" xfId="13895" xr:uid="{B74DC12C-FA01-45BD-BF52-D2643F8A153E}"/>
    <cellStyle name="Comma 4 3 2 2 2 3 3 3" xfId="22335" xr:uid="{3B4A068F-86C6-43D6-AB56-D0631070498F}"/>
    <cellStyle name="Comma 4 3 2 2 2 3 4" xfId="9677" xr:uid="{F00419E9-8C19-450D-965F-E33B3D6CFB63}"/>
    <cellStyle name="Comma 4 3 2 2 2 3 5" xfId="18118" xr:uid="{B1D1CF24-0B9F-424A-B92C-CAD5ACF80E4F}"/>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391D3D27-8A1D-45DE-8D99-45FCC4F17094}"/>
    <cellStyle name="Comma 4 3 2 2 2 4 2 2 3" xfId="24893" xr:uid="{28648D3F-3C18-40C1-8000-3B6841C423FE}"/>
    <cellStyle name="Comma 4 3 2 2 2 4 2 3" xfId="12235" xr:uid="{046EA51D-7957-4E0F-96C5-03235D286DA7}"/>
    <cellStyle name="Comma 4 3 2 2 2 4 2 4" xfId="20676" xr:uid="{97CFA851-8AC3-4E44-81F2-FFF6A2B7DF5D}"/>
    <cellStyle name="Comma 4 3 2 2 2 4 3" xfId="5858" xr:uid="{00000000-0005-0000-0000-000023090000}"/>
    <cellStyle name="Comma 4 3 2 2 2 4 3 2" xfId="14308" xr:uid="{BFEC733C-B9E5-45F9-BCE4-B967D5608552}"/>
    <cellStyle name="Comma 4 3 2 2 2 4 3 3" xfId="22748" xr:uid="{5A212655-A3FC-4D63-B6E0-B209425904F2}"/>
    <cellStyle name="Comma 4 3 2 2 2 4 4" xfId="10090" xr:uid="{77BA3219-3148-40AF-8BF8-C883179C9A1E}"/>
    <cellStyle name="Comma 4 3 2 2 2 4 5" xfId="18531" xr:uid="{02F2D30D-0F07-4018-9D69-C199D29E1A23}"/>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B5C86360-1299-4DF1-98A3-97B9723A4786}"/>
    <cellStyle name="Comma 4 3 2 2 2 5 2 2 3" xfId="25306" xr:uid="{59AD8F83-E6B1-41FE-AAE2-5EA1236ECDE2}"/>
    <cellStyle name="Comma 4 3 2 2 2 5 2 3" xfId="12648" xr:uid="{79EC0301-3A70-47D7-9C16-6D37EFE5EBD2}"/>
    <cellStyle name="Comma 4 3 2 2 2 5 2 4" xfId="21089" xr:uid="{45FDE9EC-8891-4968-8D03-0D31331CA2C2}"/>
    <cellStyle name="Comma 4 3 2 2 2 5 3" xfId="6271" xr:uid="{00000000-0005-0000-0000-000027090000}"/>
    <cellStyle name="Comma 4 3 2 2 2 5 3 2" xfId="14721" xr:uid="{72E5006B-B92E-48C3-895C-B27AC50B2AD0}"/>
    <cellStyle name="Comma 4 3 2 2 2 5 3 3" xfId="23161" xr:uid="{B6023D09-2230-4C05-BBEE-BF95DED4F219}"/>
    <cellStyle name="Comma 4 3 2 2 2 5 4" xfId="10503" xr:uid="{A3B18072-38EE-4B3E-97E9-25DE1618C0AE}"/>
    <cellStyle name="Comma 4 3 2 2 2 5 5" xfId="18944" xr:uid="{95575A8B-B7A7-45D9-9FB3-21103D7428B7}"/>
    <cellStyle name="Comma 4 3 2 2 2 6" xfId="2400" xr:uid="{00000000-0005-0000-0000-000028090000}"/>
    <cellStyle name="Comma 4 3 2 2 2 6 2" xfId="6684" xr:uid="{00000000-0005-0000-0000-000029090000}"/>
    <cellStyle name="Comma 4 3 2 2 2 6 2 2" xfId="15134" xr:uid="{8CCEF46D-B510-4745-800F-F02AA0919FDF}"/>
    <cellStyle name="Comma 4 3 2 2 2 6 2 3" xfId="23574" xr:uid="{8CACF367-299D-428E-B184-F5FA15CB448F}"/>
    <cellStyle name="Comma 4 3 2 2 2 6 3" xfId="10916" xr:uid="{37089DEB-C292-43FF-B6FF-224CFAE2EF61}"/>
    <cellStyle name="Comma 4 3 2 2 2 6 4" xfId="19357" xr:uid="{72FE04AA-BB6B-47F7-B4D6-AF6C707C5BF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9D2D637B-3A5F-4FEA-B0EC-C57829D58BDF}"/>
    <cellStyle name="Comma 4 3 2 2 2 8 2 3" xfId="23891" xr:uid="{23E42566-CF6E-4E19-8224-827C7D05609C}"/>
    <cellStyle name="Comma 4 3 2 2 2 8 3" xfId="11233" xr:uid="{6B6295BA-74AE-4988-842D-D5DA77EAE6E4}"/>
    <cellStyle name="Comma 4 3 2 2 2 8 4" xfId="19674" xr:uid="{C5BB10F9-CDE5-4C8E-96DA-13A937D690F5}"/>
    <cellStyle name="Comma 4 3 2 2 2 9" xfId="4618" xr:uid="{00000000-0005-0000-0000-00002D090000}"/>
    <cellStyle name="Comma 4 3 2 2 2 9 2" xfId="13068" xr:uid="{D857D6AF-5CCE-4DEC-8475-1FEE4353255A}"/>
    <cellStyle name="Comma 4 3 2 2 2 9 3" xfId="21508" xr:uid="{21B8665E-EF15-458B-AF01-128F3C017754}"/>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9A5EA094-C050-4991-A74E-582B1EF99088}"/>
    <cellStyle name="Comma 4 3 2 2 3 2 2 3" xfId="24066" xr:uid="{7C10BC04-9159-49EA-A470-A6B559FAAB4D}"/>
    <cellStyle name="Comma 4 3 2 2 3 2 3" xfId="11408" xr:uid="{743622B2-10B6-4936-AA49-580C5F6D4404}"/>
    <cellStyle name="Comma 4 3 2 2 3 2 4" xfId="19849" xr:uid="{5CEB98F9-C8CD-4F01-866A-1CC40DDD7ED6}"/>
    <cellStyle name="Comma 4 3 2 2 3 3" xfId="5031" xr:uid="{00000000-0005-0000-0000-000031090000}"/>
    <cellStyle name="Comma 4 3 2 2 3 3 2" xfId="13481" xr:uid="{14927F91-6945-43F5-8398-275E6F01D3AE}"/>
    <cellStyle name="Comma 4 3 2 2 3 3 3" xfId="21921" xr:uid="{48E77767-D703-4B46-AB06-7BF009BE482A}"/>
    <cellStyle name="Comma 4 3 2 2 3 4" xfId="9263" xr:uid="{F0934CFE-001A-406B-857E-3F8B3DEF9292}"/>
    <cellStyle name="Comma 4 3 2 2 3 5" xfId="17704" xr:uid="{5A25CA69-DF4A-431C-ADFE-59E3D0E0BB3C}"/>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EE978884-C947-4ADB-98D8-41E63CDCB9A3}"/>
    <cellStyle name="Comma 4 3 2 2 4 2 2 3" xfId="24479" xr:uid="{C2FAB7C0-BB12-4511-9990-F71FE1C3D51F}"/>
    <cellStyle name="Comma 4 3 2 2 4 2 3" xfId="11821" xr:uid="{B08288ED-1A4A-4822-B58F-37C3C1B131F5}"/>
    <cellStyle name="Comma 4 3 2 2 4 2 4" xfId="20262" xr:uid="{07427244-8AE6-4067-892C-6F01826F8F02}"/>
    <cellStyle name="Comma 4 3 2 2 4 3" xfId="5444" xr:uid="{00000000-0005-0000-0000-000035090000}"/>
    <cellStyle name="Comma 4 3 2 2 4 3 2" xfId="13894" xr:uid="{992114AD-DF13-495B-8656-AFCA91195145}"/>
    <cellStyle name="Comma 4 3 2 2 4 3 3" xfId="22334" xr:uid="{C6CE2BA3-A0C4-4401-AEF9-738119043464}"/>
    <cellStyle name="Comma 4 3 2 2 4 4" xfId="9676" xr:uid="{6DBDCE93-D073-4D95-A315-00DAC0C61419}"/>
    <cellStyle name="Comma 4 3 2 2 4 5" xfId="18117" xr:uid="{788A1AF0-F7A0-48BF-9AFC-6B085227959D}"/>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30C39B74-0221-49A1-917E-0B73527B6E37}"/>
    <cellStyle name="Comma 4 3 2 2 5 2 2 3" xfId="24892" xr:uid="{26511BB5-1A14-4891-A9EC-917EB8C9E92A}"/>
    <cellStyle name="Comma 4 3 2 2 5 2 3" xfId="12234" xr:uid="{963B0AFB-C99B-4F2B-A8CB-628C8A8283B3}"/>
    <cellStyle name="Comma 4 3 2 2 5 2 4" xfId="20675" xr:uid="{BD52B05D-C353-456F-A72E-1B988199E851}"/>
    <cellStyle name="Comma 4 3 2 2 5 3" xfId="5857" xr:uid="{00000000-0005-0000-0000-000039090000}"/>
    <cellStyle name="Comma 4 3 2 2 5 3 2" xfId="14307" xr:uid="{F536699D-2568-4BB0-B247-34E8A8097C78}"/>
    <cellStyle name="Comma 4 3 2 2 5 3 3" xfId="22747" xr:uid="{6D1FB2E9-391D-41C6-99DC-7CFAEF8BA1CF}"/>
    <cellStyle name="Comma 4 3 2 2 5 4" xfId="10089" xr:uid="{323405D3-8A5B-4C2D-BC40-55B78A394611}"/>
    <cellStyle name="Comma 4 3 2 2 5 5" xfId="18530" xr:uid="{7158A7B9-D611-47AB-8FE3-36949949DDBB}"/>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8E6B1632-803B-4B28-84AA-53D87D9FB3A2}"/>
    <cellStyle name="Comma 4 3 2 2 6 2 2 3" xfId="25305" xr:uid="{BC57ADC7-1999-4BEC-9064-2D1708A01EC4}"/>
    <cellStyle name="Comma 4 3 2 2 6 2 3" xfId="12647" xr:uid="{A0DD38ED-D95D-45A7-AA41-D947DDFD9DBC}"/>
    <cellStyle name="Comma 4 3 2 2 6 2 4" xfId="21088" xr:uid="{D6162E4E-1E2E-4867-BA3C-FDB8011B4629}"/>
    <cellStyle name="Comma 4 3 2 2 6 3" xfId="6270" xr:uid="{00000000-0005-0000-0000-00003D090000}"/>
    <cellStyle name="Comma 4 3 2 2 6 3 2" xfId="14720" xr:uid="{0D15F95B-5D05-4F7A-9345-1B983BA7D16D}"/>
    <cellStyle name="Comma 4 3 2 2 6 3 3" xfId="23160" xr:uid="{E5F47DB7-FD86-4786-8633-6A5704C05C90}"/>
    <cellStyle name="Comma 4 3 2 2 6 4" xfId="10502" xr:uid="{337922CD-0F9F-4556-A095-7BC9486286F2}"/>
    <cellStyle name="Comma 4 3 2 2 6 5" xfId="18943" xr:uid="{F87BD909-F0D1-4EEB-BDA1-681FCBD3BDB0}"/>
    <cellStyle name="Comma 4 3 2 2 7" xfId="2399" xr:uid="{00000000-0005-0000-0000-00003E090000}"/>
    <cellStyle name="Comma 4 3 2 2 7 2" xfId="6683" xr:uid="{00000000-0005-0000-0000-00003F090000}"/>
    <cellStyle name="Comma 4 3 2 2 7 2 2" xfId="15133" xr:uid="{06FAEF8A-7371-4BBC-9006-FB5BBA004C9D}"/>
    <cellStyle name="Comma 4 3 2 2 7 2 3" xfId="23573" xr:uid="{3F68BA5E-B8C0-421F-818A-296571C76B6A}"/>
    <cellStyle name="Comma 4 3 2 2 7 3" xfId="10915" xr:uid="{03AD254E-A2F6-4CE4-91B4-CE634F64E07F}"/>
    <cellStyle name="Comma 4 3 2 2 7 4" xfId="19356" xr:uid="{4DEB596B-DCF0-4B72-A05D-683FD48C7F1F}"/>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733EDDAB-CA8A-4077-986C-7955D594A35C}"/>
    <cellStyle name="Comma 4 3 2 2 9 2 3" xfId="23890" xr:uid="{EDF3D628-4332-42D5-A6DF-151F03D1E01F}"/>
    <cellStyle name="Comma 4 3 2 2 9 3" xfId="11232" xr:uid="{F8029105-5065-4394-93FA-F74DC974CB5A}"/>
    <cellStyle name="Comma 4 3 2 2 9 4" xfId="19673" xr:uid="{E386CC64-CB93-47AC-A24A-D10CF7E75209}"/>
    <cellStyle name="Comma 4 3 2 3" xfId="148" xr:uid="{00000000-0005-0000-0000-000043090000}"/>
    <cellStyle name="Comma 4 3 2 3 10" xfId="8851" xr:uid="{BA7B9DF6-84C7-4364-A9DE-93EB829A2D6A}"/>
    <cellStyle name="Comma 4 3 2 3 11" xfId="17292" xr:uid="{F3B5F9F4-A439-4EBC-9791-1C73805E494A}"/>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7B3B0679-70F6-4CD3-93CF-05A769780289}"/>
    <cellStyle name="Comma 4 3 2 3 2 2 2 3" xfId="24068" xr:uid="{62700946-9414-4A12-943A-CFF207CAD365}"/>
    <cellStyle name="Comma 4 3 2 3 2 2 3" xfId="11410" xr:uid="{46F9C518-5767-4BF0-857C-756F0AA87C28}"/>
    <cellStyle name="Comma 4 3 2 3 2 2 4" xfId="19851" xr:uid="{3502DC73-4670-4A60-B9B3-3A80560E8C61}"/>
    <cellStyle name="Comma 4 3 2 3 2 3" xfId="5033" xr:uid="{00000000-0005-0000-0000-000047090000}"/>
    <cellStyle name="Comma 4 3 2 3 2 3 2" xfId="13483" xr:uid="{752AC988-7B9A-401C-9146-07E5E90FE15D}"/>
    <cellStyle name="Comma 4 3 2 3 2 3 3" xfId="21923" xr:uid="{55AF6A6C-52A9-4432-B977-05CA5915D58F}"/>
    <cellStyle name="Comma 4 3 2 3 2 4" xfId="9265" xr:uid="{BBB17084-1ECB-40AC-B5BA-07F4CF0A8BF1}"/>
    <cellStyle name="Comma 4 3 2 3 2 5" xfId="17706" xr:uid="{5FE701B7-D40E-4B4F-824D-1D44E5554E4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8B44AAF5-8224-49E7-B279-8A541E2B4981}"/>
    <cellStyle name="Comma 4 3 2 3 3 2 2 3" xfId="24481" xr:uid="{76703E8D-308B-44A6-972D-2F006234DD08}"/>
    <cellStyle name="Comma 4 3 2 3 3 2 3" xfId="11823" xr:uid="{C13DA377-12B5-4BF0-807F-458551E4EA2C}"/>
    <cellStyle name="Comma 4 3 2 3 3 2 4" xfId="20264" xr:uid="{F9708C39-40C4-4915-80A2-8B4DE3F22393}"/>
    <cellStyle name="Comma 4 3 2 3 3 3" xfId="5446" xr:uid="{00000000-0005-0000-0000-00004B090000}"/>
    <cellStyle name="Comma 4 3 2 3 3 3 2" xfId="13896" xr:uid="{0AE7E789-8C9E-4A5B-A92C-5D7C9E82C93F}"/>
    <cellStyle name="Comma 4 3 2 3 3 3 3" xfId="22336" xr:uid="{C55CE46D-FBE3-48A0-95F7-71A00CAF447E}"/>
    <cellStyle name="Comma 4 3 2 3 3 4" xfId="9678" xr:uid="{5FA7201F-3CBA-4D9E-B975-8BF1D25CCE55}"/>
    <cellStyle name="Comma 4 3 2 3 3 5" xfId="18119" xr:uid="{3CFB1D39-9598-45B5-8986-E1C67AF953F3}"/>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92FDB1B9-7302-4D9E-B857-27C35143691E}"/>
    <cellStyle name="Comma 4 3 2 3 4 2 2 3" xfId="24894" xr:uid="{7B50E0E7-FDDE-4CE7-81A2-FE8E593648C7}"/>
    <cellStyle name="Comma 4 3 2 3 4 2 3" xfId="12236" xr:uid="{0F38F8FB-ADA3-4682-9085-39822ED24B76}"/>
    <cellStyle name="Comma 4 3 2 3 4 2 4" xfId="20677" xr:uid="{903FA1DF-7F56-4BAC-8E56-48378C6DDBC4}"/>
    <cellStyle name="Comma 4 3 2 3 4 3" xfId="5859" xr:uid="{00000000-0005-0000-0000-00004F090000}"/>
    <cellStyle name="Comma 4 3 2 3 4 3 2" xfId="14309" xr:uid="{3DF03384-560D-433E-85CE-C29B0C26C7F8}"/>
    <cellStyle name="Comma 4 3 2 3 4 3 3" xfId="22749" xr:uid="{48022C12-8BA2-4791-91D6-D2E10415638B}"/>
    <cellStyle name="Comma 4 3 2 3 4 4" xfId="10091" xr:uid="{59972098-DB49-47FF-957E-BBDF87960E5A}"/>
    <cellStyle name="Comma 4 3 2 3 4 5" xfId="18532" xr:uid="{4B025F53-40FE-4807-AA24-93B6A743B66D}"/>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C191D233-7643-42A7-9558-C4A247CB3B95}"/>
    <cellStyle name="Comma 4 3 2 3 5 2 2 3" xfId="25307" xr:uid="{635C0764-A6FC-4908-ACC5-CCF5E5AEE3EA}"/>
    <cellStyle name="Comma 4 3 2 3 5 2 3" xfId="12649" xr:uid="{32DF344A-8C1C-421A-9D42-8F7AD5DD0B6C}"/>
    <cellStyle name="Comma 4 3 2 3 5 2 4" xfId="21090" xr:uid="{FA5D0480-5A18-40D5-A619-D4EE46B41D29}"/>
    <cellStyle name="Comma 4 3 2 3 5 3" xfId="6272" xr:uid="{00000000-0005-0000-0000-000053090000}"/>
    <cellStyle name="Comma 4 3 2 3 5 3 2" xfId="14722" xr:uid="{BDA9D3F6-33E0-4A37-A021-7EDDB19DB1AB}"/>
    <cellStyle name="Comma 4 3 2 3 5 3 3" xfId="23162" xr:uid="{BF541C19-5E88-425D-BBF0-A680DE89FC60}"/>
    <cellStyle name="Comma 4 3 2 3 5 4" xfId="10504" xr:uid="{47DB036E-3D92-4F80-9320-C960E85A9C9D}"/>
    <cellStyle name="Comma 4 3 2 3 5 5" xfId="18945" xr:uid="{3B5647D9-011F-495A-9642-746F3506DB7D}"/>
    <cellStyle name="Comma 4 3 2 3 6" xfId="2401" xr:uid="{00000000-0005-0000-0000-000054090000}"/>
    <cellStyle name="Comma 4 3 2 3 6 2" xfId="6685" xr:uid="{00000000-0005-0000-0000-000055090000}"/>
    <cellStyle name="Comma 4 3 2 3 6 2 2" xfId="15135" xr:uid="{88853CD0-252A-417C-B94D-B739B99F57B8}"/>
    <cellStyle name="Comma 4 3 2 3 6 2 3" xfId="23575" xr:uid="{E622B00D-00FC-43E0-8C17-412E2B59719E}"/>
    <cellStyle name="Comma 4 3 2 3 6 3" xfId="10917" xr:uid="{9562E1C3-79B6-4CA4-82A8-182D5EAD9C95}"/>
    <cellStyle name="Comma 4 3 2 3 6 4" xfId="19358" xr:uid="{0A31A749-FF2D-429F-B91C-2770623F435C}"/>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904FE453-A455-4AF9-96FE-3D31F73A9A71}"/>
    <cellStyle name="Comma 4 3 2 3 8 2 3" xfId="23892" xr:uid="{5DA72AFB-6EE6-4C20-8163-10CEA55F12A8}"/>
    <cellStyle name="Comma 4 3 2 3 8 3" xfId="11234" xr:uid="{626186A8-37C5-4D9C-9AA8-E1406ED1FB9D}"/>
    <cellStyle name="Comma 4 3 2 3 8 4" xfId="19675" xr:uid="{9D2594D8-3F73-4EFE-BD89-1956968F7BE7}"/>
    <cellStyle name="Comma 4 3 2 3 9" xfId="4619" xr:uid="{00000000-0005-0000-0000-000059090000}"/>
    <cellStyle name="Comma 4 3 2 3 9 2" xfId="13069" xr:uid="{87122744-51CE-4631-BA3F-E30101270AE0}"/>
    <cellStyle name="Comma 4 3 2 3 9 3" xfId="21509" xr:uid="{89F8E8D0-B21F-4256-A071-ABF27696CCE4}"/>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A061C07A-AC7F-4545-8E8A-47971A1FFB99}"/>
    <cellStyle name="Comma 4 3 2 4 2 2 3" xfId="24065" xr:uid="{95C474A8-8674-486D-A40C-F7290D7C910C}"/>
    <cellStyle name="Comma 4 3 2 4 2 3" xfId="11407" xr:uid="{603AA17A-15EE-4B49-A0D6-68291BCDE53D}"/>
    <cellStyle name="Comma 4 3 2 4 2 4" xfId="19848" xr:uid="{9A37ED98-E005-4CC9-96DC-B62001D9C8A5}"/>
    <cellStyle name="Comma 4 3 2 4 3" xfId="5030" xr:uid="{00000000-0005-0000-0000-00005D090000}"/>
    <cellStyle name="Comma 4 3 2 4 3 2" xfId="13480" xr:uid="{C9B8CEB9-9D56-47D9-B017-E48A2A376217}"/>
    <cellStyle name="Comma 4 3 2 4 3 3" xfId="21920" xr:uid="{BE42A7E7-F580-4CC8-8C5E-6DF2845506AD}"/>
    <cellStyle name="Comma 4 3 2 4 4" xfId="9262" xr:uid="{F2873F28-05C7-4E3E-A6DF-9560437F2562}"/>
    <cellStyle name="Comma 4 3 2 4 5" xfId="17703" xr:uid="{3D24C431-9CEA-4604-BF64-B99D45F6050D}"/>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A97328B3-D6DD-4729-8CD8-5D458424E775}"/>
    <cellStyle name="Comma 4 3 2 5 2 2 3" xfId="24478" xr:uid="{728F2509-956E-4CA1-B85C-32BCE14C5F48}"/>
    <cellStyle name="Comma 4 3 2 5 2 3" xfId="11820" xr:uid="{754C15A9-D9DC-4073-8AA5-ADC38D6E245E}"/>
    <cellStyle name="Comma 4 3 2 5 2 4" xfId="20261" xr:uid="{9D1BC3EB-00DC-47DB-8491-38F3C01B9F29}"/>
    <cellStyle name="Comma 4 3 2 5 3" xfId="5443" xr:uid="{00000000-0005-0000-0000-000061090000}"/>
    <cellStyle name="Comma 4 3 2 5 3 2" xfId="13893" xr:uid="{D258D38D-A413-4CEC-9E32-DA5AE2D34254}"/>
    <cellStyle name="Comma 4 3 2 5 3 3" xfId="22333" xr:uid="{7A49CE0E-07D6-4D11-9817-B6E0955DE884}"/>
    <cellStyle name="Comma 4 3 2 5 4" xfId="9675" xr:uid="{746B867E-B529-44FC-883A-FFC9796CCCEE}"/>
    <cellStyle name="Comma 4 3 2 5 5" xfId="18116" xr:uid="{1AE20171-B64D-4053-BC70-76C630B6D4DF}"/>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B5C7E208-8576-4BCA-93AD-E86E9E8EADD9}"/>
    <cellStyle name="Comma 4 3 2 6 2 2 3" xfId="24891" xr:uid="{31695A4D-4A94-4BFA-B65C-9EEB44F457D6}"/>
    <cellStyle name="Comma 4 3 2 6 2 3" xfId="12233" xr:uid="{9C12B5F9-AB12-45B6-8B5F-5C8E6EB4C219}"/>
    <cellStyle name="Comma 4 3 2 6 2 4" xfId="20674" xr:uid="{E80421FA-7020-4027-B0F7-CC65B006F96D}"/>
    <cellStyle name="Comma 4 3 2 6 3" xfId="5856" xr:uid="{00000000-0005-0000-0000-000065090000}"/>
    <cellStyle name="Comma 4 3 2 6 3 2" xfId="14306" xr:uid="{7DDA2AA1-3BC9-4796-BF42-D91A8D8816CE}"/>
    <cellStyle name="Comma 4 3 2 6 3 3" xfId="22746" xr:uid="{227FAD5F-1CEC-4A60-866F-F781A92BE17D}"/>
    <cellStyle name="Comma 4 3 2 6 4" xfId="10088" xr:uid="{7DED3B57-A114-4F3A-8601-95FCC8E1A2A3}"/>
    <cellStyle name="Comma 4 3 2 6 5" xfId="18529" xr:uid="{2E54D173-A7F0-4B7C-A205-5B98EE0F3CF6}"/>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E44B00E5-E2B7-4116-92CB-4341E72570B3}"/>
    <cellStyle name="Comma 4 3 2 7 2 2 3" xfId="25304" xr:uid="{19DDF1CC-98C3-4862-BB72-1932ECEAF3BA}"/>
    <cellStyle name="Comma 4 3 2 7 2 3" xfId="12646" xr:uid="{77E75702-4145-4C9E-88C7-04E36BCF7975}"/>
    <cellStyle name="Comma 4 3 2 7 2 4" xfId="21087" xr:uid="{D26BE3B9-2AFF-4BA9-BE35-9062029DDD54}"/>
    <cellStyle name="Comma 4 3 2 7 3" xfId="6269" xr:uid="{00000000-0005-0000-0000-000069090000}"/>
    <cellStyle name="Comma 4 3 2 7 3 2" xfId="14719" xr:uid="{B9E202C5-7282-48FC-8221-1EB1B7548338}"/>
    <cellStyle name="Comma 4 3 2 7 3 3" xfId="23159" xr:uid="{1477EAD5-430A-498C-A57B-09A52368BB64}"/>
    <cellStyle name="Comma 4 3 2 7 4" xfId="10501" xr:uid="{603F8D65-BB1A-438F-966D-DB8AF31C5B32}"/>
    <cellStyle name="Comma 4 3 2 7 5" xfId="18942" xr:uid="{F786BB3B-889D-41FA-9F5B-0A30DD689D2B}"/>
    <cellStyle name="Comma 4 3 2 8" xfId="2398" xr:uid="{00000000-0005-0000-0000-00006A090000}"/>
    <cellStyle name="Comma 4 3 2 8 2" xfId="6682" xr:uid="{00000000-0005-0000-0000-00006B090000}"/>
    <cellStyle name="Comma 4 3 2 8 2 2" xfId="15132" xr:uid="{FB9E6266-09BA-47F9-8447-A0E29B6B893F}"/>
    <cellStyle name="Comma 4 3 2 8 2 3" xfId="23572" xr:uid="{5CE33D89-F3A6-4C71-922D-3505412FBE73}"/>
    <cellStyle name="Comma 4 3 2 8 3" xfId="10914" xr:uid="{4A485F39-BDB8-4B9F-B638-56DE35A81B16}"/>
    <cellStyle name="Comma 4 3 2 8 4" xfId="19355" xr:uid="{ACAF62EE-62C7-4FF7-8A8C-8D674C231DE7}"/>
    <cellStyle name="Comma 4 3 2 9" xfId="2365" xr:uid="{00000000-0005-0000-0000-00006C090000}"/>
    <cellStyle name="Comma 4 3 3" xfId="149" xr:uid="{00000000-0005-0000-0000-00006D090000}"/>
    <cellStyle name="Comma 4 3 3 10" xfId="4620" xr:uid="{00000000-0005-0000-0000-00006E090000}"/>
    <cellStyle name="Comma 4 3 3 10 2" xfId="13070" xr:uid="{F2FF3C7D-E3E1-449F-9FE2-03A2540AD7DF}"/>
    <cellStyle name="Comma 4 3 3 10 3" xfId="21510" xr:uid="{280F673A-AE8A-4080-B54E-DD09A27610F2}"/>
    <cellStyle name="Comma 4 3 3 11" xfId="8852" xr:uid="{27865169-8367-4B25-B6E0-5BBA88B9D490}"/>
    <cellStyle name="Comma 4 3 3 12" xfId="17293" xr:uid="{0A0C563D-6BD0-4A4D-9DB3-099BEA7E61FD}"/>
    <cellStyle name="Comma 4 3 3 2" xfId="150" xr:uid="{00000000-0005-0000-0000-00006F090000}"/>
    <cellStyle name="Comma 4 3 3 2 10" xfId="8853" xr:uid="{47C82220-0BD9-47AB-99B0-AF585B9A3CDE}"/>
    <cellStyle name="Comma 4 3 3 2 11" xfId="17294" xr:uid="{63DF1059-C6D3-4F70-B084-28E8313161E3}"/>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65F87BD6-7B43-4242-A7CD-2E79C5167547}"/>
    <cellStyle name="Comma 4 3 3 2 2 2 2 3" xfId="24070" xr:uid="{F831FF13-943F-43C7-B95D-DA6DCB2E5351}"/>
    <cellStyle name="Comma 4 3 3 2 2 2 3" xfId="11412" xr:uid="{7179FDEE-8D21-4675-ABC4-D3155F42BF23}"/>
    <cellStyle name="Comma 4 3 3 2 2 2 4" xfId="19853" xr:uid="{5C673C2A-0973-45BE-A02F-3871D651CB66}"/>
    <cellStyle name="Comma 4 3 3 2 2 3" xfId="5035" xr:uid="{00000000-0005-0000-0000-000073090000}"/>
    <cellStyle name="Comma 4 3 3 2 2 3 2" xfId="13485" xr:uid="{D548E241-E855-4722-B36B-08CA9AE82F3B}"/>
    <cellStyle name="Comma 4 3 3 2 2 3 3" xfId="21925" xr:uid="{0874398C-D1B7-4F4F-AB8C-CC089FE05664}"/>
    <cellStyle name="Comma 4 3 3 2 2 4" xfId="9267" xr:uid="{8BB76656-922A-4FB0-A098-CCBC6F12F2FC}"/>
    <cellStyle name="Comma 4 3 3 2 2 5" xfId="17708" xr:uid="{12B2948F-9C45-4ECA-95C5-7BC2798D622F}"/>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C5ABBB7A-6C21-4070-A573-BFB38E2CEF28}"/>
    <cellStyle name="Comma 4 3 3 2 3 2 2 3" xfId="24483" xr:uid="{D4B00E87-222B-48F3-8FDC-4C87E8CBC879}"/>
    <cellStyle name="Comma 4 3 3 2 3 2 3" xfId="11825" xr:uid="{DD2FF08F-12DE-433A-B35A-A9669348DFC2}"/>
    <cellStyle name="Comma 4 3 3 2 3 2 4" xfId="20266" xr:uid="{B3397D59-5CA5-4000-B182-1540CCF3154A}"/>
    <cellStyle name="Comma 4 3 3 2 3 3" xfId="5448" xr:uid="{00000000-0005-0000-0000-000077090000}"/>
    <cellStyle name="Comma 4 3 3 2 3 3 2" xfId="13898" xr:uid="{64391B83-1C7B-4EF2-AC2B-B70E6D9CA886}"/>
    <cellStyle name="Comma 4 3 3 2 3 3 3" xfId="22338" xr:uid="{D63417C8-6E9E-42DB-87F6-FFC578F77DAB}"/>
    <cellStyle name="Comma 4 3 3 2 3 4" xfId="9680" xr:uid="{C41467D8-D24D-43B9-820A-263BFDEFF4FF}"/>
    <cellStyle name="Comma 4 3 3 2 3 5" xfId="18121" xr:uid="{1E4F80EE-1B9D-42F7-BE2E-0A26040B9B5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6E7CA475-8304-4644-B4F4-597380430AC4}"/>
    <cellStyle name="Comma 4 3 3 2 4 2 2 3" xfId="24896" xr:uid="{CB15E352-E181-409F-945A-83102AEF305E}"/>
    <cellStyle name="Comma 4 3 3 2 4 2 3" xfId="12238" xr:uid="{36B37142-3606-44A9-AC22-2DECC1617837}"/>
    <cellStyle name="Comma 4 3 3 2 4 2 4" xfId="20679" xr:uid="{10C7D951-31FE-4F46-A38A-C3B21BA9D0AA}"/>
    <cellStyle name="Comma 4 3 3 2 4 3" xfId="5861" xr:uid="{00000000-0005-0000-0000-00007B090000}"/>
    <cellStyle name="Comma 4 3 3 2 4 3 2" xfId="14311" xr:uid="{B8FE1DD8-6AEC-4F9A-88DB-39DE86AD7B3B}"/>
    <cellStyle name="Comma 4 3 3 2 4 3 3" xfId="22751" xr:uid="{A4FF303C-89EC-4789-8B24-A0E2F93BB18A}"/>
    <cellStyle name="Comma 4 3 3 2 4 4" xfId="10093" xr:uid="{B9E9F981-23C3-4370-9B1B-ECBF9C55F66E}"/>
    <cellStyle name="Comma 4 3 3 2 4 5" xfId="18534" xr:uid="{B7CD15E6-A9FF-4A20-8D27-6B20A1B143F6}"/>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E1C49DFB-FAA9-45A9-B042-15D960FEE55C}"/>
    <cellStyle name="Comma 4 3 3 2 5 2 2 3" xfId="25309" xr:uid="{EDC17B54-5530-4E9E-9AB1-9B5AFCAE0B6F}"/>
    <cellStyle name="Comma 4 3 3 2 5 2 3" xfId="12651" xr:uid="{F5E59579-F993-4995-A372-AFE3EDFE0D79}"/>
    <cellStyle name="Comma 4 3 3 2 5 2 4" xfId="21092" xr:uid="{ED4090E5-95A1-4D6D-8D7D-5C2E7397BD6A}"/>
    <cellStyle name="Comma 4 3 3 2 5 3" xfId="6274" xr:uid="{00000000-0005-0000-0000-00007F090000}"/>
    <cellStyle name="Comma 4 3 3 2 5 3 2" xfId="14724" xr:uid="{CD403550-87AF-40C6-8444-08529126EAAD}"/>
    <cellStyle name="Comma 4 3 3 2 5 3 3" xfId="23164" xr:uid="{0194E8B3-2976-4D75-A485-00A4AB10B08D}"/>
    <cellStyle name="Comma 4 3 3 2 5 4" xfId="10506" xr:uid="{204B8714-91E6-40C8-BBEA-769FDD5C4067}"/>
    <cellStyle name="Comma 4 3 3 2 5 5" xfId="18947" xr:uid="{42A5C65E-A17C-4BB3-8EDF-5E94DB9B7D0E}"/>
    <cellStyle name="Comma 4 3 3 2 6" xfId="2403" xr:uid="{00000000-0005-0000-0000-000080090000}"/>
    <cellStyle name="Comma 4 3 3 2 6 2" xfId="6687" xr:uid="{00000000-0005-0000-0000-000081090000}"/>
    <cellStyle name="Comma 4 3 3 2 6 2 2" xfId="15137" xr:uid="{8EA4DEBA-6445-4992-95BD-BB08A510CCB6}"/>
    <cellStyle name="Comma 4 3 3 2 6 2 3" xfId="23577" xr:uid="{8233FAD6-E859-418A-9775-26A00CBBBD51}"/>
    <cellStyle name="Comma 4 3 3 2 6 3" xfId="10919" xr:uid="{2F060EDD-43D1-4228-9F8C-48B894159F61}"/>
    <cellStyle name="Comma 4 3 3 2 6 4" xfId="19360" xr:uid="{65B62234-62BF-4CF2-BA74-32E473C53132}"/>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4A8A334E-01B8-406C-9240-E3060386063E}"/>
    <cellStyle name="Comma 4 3 3 2 8 2 3" xfId="23894" xr:uid="{5838F81C-5150-46C3-A3FB-773693489F73}"/>
    <cellStyle name="Comma 4 3 3 2 8 3" xfId="11236" xr:uid="{94DE4ED0-803B-4E86-82A6-3DBFC01A116C}"/>
    <cellStyle name="Comma 4 3 3 2 8 4" xfId="19677" xr:uid="{A6C42751-3FB1-43C8-B541-D61C0B305EC7}"/>
    <cellStyle name="Comma 4 3 3 2 9" xfId="4621" xr:uid="{00000000-0005-0000-0000-000085090000}"/>
    <cellStyle name="Comma 4 3 3 2 9 2" xfId="13071" xr:uid="{9AE97338-2C04-4D24-B0DE-2654833D020E}"/>
    <cellStyle name="Comma 4 3 3 2 9 3" xfId="21511" xr:uid="{61FE7954-C588-4939-A9A0-261942982C6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E2D46942-0A62-4E9B-AE41-254044AAA3AE}"/>
    <cellStyle name="Comma 4 3 3 3 2 2 3" xfId="24069" xr:uid="{0401CB21-746D-452B-B61D-5E17D4BDE61D}"/>
    <cellStyle name="Comma 4 3 3 3 2 3" xfId="11411" xr:uid="{AF2EB9C2-20D2-4BD3-88FE-610C8E3DACFB}"/>
    <cellStyle name="Comma 4 3 3 3 2 4" xfId="19852" xr:uid="{389BE0C0-A5E6-48DF-AE09-E27A1719BB2D}"/>
    <cellStyle name="Comma 4 3 3 3 3" xfId="5034" xr:uid="{00000000-0005-0000-0000-000089090000}"/>
    <cellStyle name="Comma 4 3 3 3 3 2" xfId="13484" xr:uid="{1022CAA2-F1C2-44F3-AD8A-F4CC1F509E9C}"/>
    <cellStyle name="Comma 4 3 3 3 3 3" xfId="21924" xr:uid="{5231FF71-3CB5-45BA-9A9E-7CC44BC5B757}"/>
    <cellStyle name="Comma 4 3 3 3 4" xfId="9266" xr:uid="{D511A7E2-0CDE-4CE5-803A-4563A4E7A311}"/>
    <cellStyle name="Comma 4 3 3 3 5" xfId="17707" xr:uid="{A4B34226-0749-46D9-B0FF-1389E04A3B5C}"/>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9FCEC3E2-F9A3-45B6-AE30-40E250C83DA7}"/>
    <cellStyle name="Comma 4 3 3 4 2 2 3" xfId="24482" xr:uid="{2EB8E425-FB18-4F31-81DC-38CC96EAF6E1}"/>
    <cellStyle name="Comma 4 3 3 4 2 3" xfId="11824" xr:uid="{E307D295-5AEF-43D3-8DFF-45C4B822F333}"/>
    <cellStyle name="Comma 4 3 3 4 2 4" xfId="20265" xr:uid="{6C9F5E81-6044-4B56-B1F9-B52762AD6E9F}"/>
    <cellStyle name="Comma 4 3 3 4 3" xfId="5447" xr:uid="{00000000-0005-0000-0000-00008D090000}"/>
    <cellStyle name="Comma 4 3 3 4 3 2" xfId="13897" xr:uid="{B10CC05A-4D8A-451C-B434-BC512174963C}"/>
    <cellStyle name="Comma 4 3 3 4 3 3" xfId="22337" xr:uid="{8A6BB1DC-2944-40D6-BB74-AB7ACDBEED7B}"/>
    <cellStyle name="Comma 4 3 3 4 4" xfId="9679" xr:uid="{6F99D72D-C5BE-4234-9846-097140399680}"/>
    <cellStyle name="Comma 4 3 3 4 5" xfId="18120" xr:uid="{E50EF5A8-4715-4390-8D6C-AC9508D05F27}"/>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800D36F7-C481-48B2-BB2D-86003326439D}"/>
    <cellStyle name="Comma 4 3 3 5 2 2 3" xfId="24895" xr:uid="{54E47DE2-DC50-4299-A340-CB8F98EE058F}"/>
    <cellStyle name="Comma 4 3 3 5 2 3" xfId="12237" xr:uid="{4D27EBA4-D471-46BE-AF6E-AB146366C4F1}"/>
    <cellStyle name="Comma 4 3 3 5 2 4" xfId="20678" xr:uid="{617B8366-37A1-4DEE-8416-AC5EB0B57445}"/>
    <cellStyle name="Comma 4 3 3 5 3" xfId="5860" xr:uid="{00000000-0005-0000-0000-000091090000}"/>
    <cellStyle name="Comma 4 3 3 5 3 2" xfId="14310" xr:uid="{94E50318-17EE-417E-BF69-7177FE83DB94}"/>
    <cellStyle name="Comma 4 3 3 5 3 3" xfId="22750" xr:uid="{2A470B2D-4129-4CB1-BAD1-B734E9E7D587}"/>
    <cellStyle name="Comma 4 3 3 5 4" xfId="10092" xr:uid="{92477C8D-DA86-4C14-A75F-A875ECE5510D}"/>
    <cellStyle name="Comma 4 3 3 5 5" xfId="18533" xr:uid="{076D08ED-1C68-405E-A987-304CEE28B7D2}"/>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62542EF0-51E0-4B4A-B574-FD5E4C90DD9D}"/>
    <cellStyle name="Comma 4 3 3 6 2 2 3" xfId="25308" xr:uid="{3E33C390-0EB3-4D3A-B154-7DF7C5485D30}"/>
    <cellStyle name="Comma 4 3 3 6 2 3" xfId="12650" xr:uid="{FB40BFE4-520E-4ED2-A6DC-A97AF9B57FF6}"/>
    <cellStyle name="Comma 4 3 3 6 2 4" xfId="21091" xr:uid="{D774BA7A-5A1A-49BE-9174-E01C9F7E33FD}"/>
    <cellStyle name="Comma 4 3 3 6 3" xfId="6273" xr:uid="{00000000-0005-0000-0000-000095090000}"/>
    <cellStyle name="Comma 4 3 3 6 3 2" xfId="14723" xr:uid="{17587448-76A7-4498-91B0-1245E13E52BC}"/>
    <cellStyle name="Comma 4 3 3 6 3 3" xfId="23163" xr:uid="{3FE7CAA9-D991-4EE8-B50D-FCD5F2382304}"/>
    <cellStyle name="Comma 4 3 3 6 4" xfId="10505" xr:uid="{D597E007-FA52-4984-96FC-AD0BB40C84B2}"/>
    <cellStyle name="Comma 4 3 3 6 5" xfId="18946" xr:uid="{9E36608D-E5C1-4864-ADFA-506A95567299}"/>
    <cellStyle name="Comma 4 3 3 7" xfId="2402" xr:uid="{00000000-0005-0000-0000-000096090000}"/>
    <cellStyle name="Comma 4 3 3 7 2" xfId="6686" xr:uid="{00000000-0005-0000-0000-000097090000}"/>
    <cellStyle name="Comma 4 3 3 7 2 2" xfId="15136" xr:uid="{4ACE79BB-A1B1-411F-AC17-970D2827AD55}"/>
    <cellStyle name="Comma 4 3 3 7 2 3" xfId="23576" xr:uid="{8E136B61-EBA1-41C8-A2AF-387C570F4775}"/>
    <cellStyle name="Comma 4 3 3 7 3" xfId="10918" xr:uid="{D776A9F1-06A3-478B-ACF1-5558529D842F}"/>
    <cellStyle name="Comma 4 3 3 7 4" xfId="19359" xr:uid="{47F92FDB-399A-4A68-A55D-FDE391757884}"/>
    <cellStyle name="Comma 4 3 3 8" xfId="2361" xr:uid="{00000000-0005-0000-0000-000098090000}"/>
    <cellStyle name="Comma 4 3 3 9" xfId="2780" xr:uid="{00000000-0005-0000-0000-000099090000}"/>
    <cellStyle name="Comma 4 3 3 9 2" xfId="7003" xr:uid="{00000000-0005-0000-0000-00009A090000}"/>
    <cellStyle name="Comma 4 3 3 9 2 2" xfId="15453" xr:uid="{B8D9851D-ACC8-43CD-8E60-6A23CC77C5AA}"/>
    <cellStyle name="Comma 4 3 3 9 2 3" xfId="23893" xr:uid="{41BBE1A5-1CED-42A3-A7B4-1E29C075AAD5}"/>
    <cellStyle name="Comma 4 3 3 9 3" xfId="11235" xr:uid="{B6BC9FBB-D4AF-4FCD-A753-E7A7060E2932}"/>
    <cellStyle name="Comma 4 3 3 9 4" xfId="19676" xr:uid="{BBE17FE2-E215-4038-8648-63B08AE52A1D}"/>
    <cellStyle name="Comma 4 3 4" xfId="151" xr:uid="{00000000-0005-0000-0000-00009B090000}"/>
    <cellStyle name="Comma 4 3 4 10" xfId="8854" xr:uid="{D4BE2F97-7C72-413A-8B56-32DF262E0231}"/>
    <cellStyle name="Comma 4 3 4 11" xfId="17295" xr:uid="{1C59BB1D-BA1D-47B2-8B72-00AFCA36947D}"/>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CA127B55-0FA1-4384-AAB8-E9B7DC0726E4}"/>
    <cellStyle name="Comma 4 3 4 2 2 2 3" xfId="24071" xr:uid="{BD6F527A-2E91-47F9-934B-C7A1FC6D8348}"/>
    <cellStyle name="Comma 4 3 4 2 2 3" xfId="11413" xr:uid="{94F408FB-44EA-403E-81F8-68D0D8102075}"/>
    <cellStyle name="Comma 4 3 4 2 2 4" xfId="19854" xr:uid="{2BBE8C69-7303-4ED9-868E-295C589A7CBA}"/>
    <cellStyle name="Comma 4 3 4 2 3" xfId="5036" xr:uid="{00000000-0005-0000-0000-00009F090000}"/>
    <cellStyle name="Comma 4 3 4 2 3 2" xfId="13486" xr:uid="{195D3DC2-D790-49C8-B59F-CF6D7CEEAF55}"/>
    <cellStyle name="Comma 4 3 4 2 3 3" xfId="21926" xr:uid="{0E2687DA-E18D-4289-A030-D8E4D77BA49E}"/>
    <cellStyle name="Comma 4 3 4 2 4" xfId="9268" xr:uid="{8AD9E299-EC81-40E1-9A9E-6F1E43017001}"/>
    <cellStyle name="Comma 4 3 4 2 5" xfId="17709" xr:uid="{6E46795D-68EA-4460-BA91-E9938638B3DD}"/>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CBA63F74-5691-4504-B4C0-924028686350}"/>
    <cellStyle name="Comma 4 3 4 3 2 2 3" xfId="24484" xr:uid="{5B1759AD-5700-4480-9A60-784EC57E4B07}"/>
    <cellStyle name="Comma 4 3 4 3 2 3" xfId="11826" xr:uid="{E8CAFD0D-7062-4BD9-B842-E46F14BA9AC7}"/>
    <cellStyle name="Comma 4 3 4 3 2 4" xfId="20267" xr:uid="{64F56940-72F8-4C7D-9344-554EC7E9925A}"/>
    <cellStyle name="Comma 4 3 4 3 3" xfId="5449" xr:uid="{00000000-0005-0000-0000-0000A3090000}"/>
    <cellStyle name="Comma 4 3 4 3 3 2" xfId="13899" xr:uid="{ED760ECE-6905-4873-BB29-F5CBE86A7A82}"/>
    <cellStyle name="Comma 4 3 4 3 3 3" xfId="22339" xr:uid="{B2E3C2E5-A102-428C-8A00-8B16A6D58A6E}"/>
    <cellStyle name="Comma 4 3 4 3 4" xfId="9681" xr:uid="{43C95ED7-88A6-4558-A00C-AA33659C6BFA}"/>
    <cellStyle name="Comma 4 3 4 3 5" xfId="18122" xr:uid="{F6575413-D4AB-42DA-A547-85B8AD89BF57}"/>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FB5D65E1-57A4-4AA2-8835-BCF037E8EFC0}"/>
    <cellStyle name="Comma 4 3 4 4 2 2 3" xfId="24897" xr:uid="{195DF227-3725-46ED-BE2C-9C59FC78BE86}"/>
    <cellStyle name="Comma 4 3 4 4 2 3" xfId="12239" xr:uid="{211940B1-AA80-4A52-B763-ACE2C021BACC}"/>
    <cellStyle name="Comma 4 3 4 4 2 4" xfId="20680" xr:uid="{70C8B69A-6D07-44C3-821E-03163526A3CF}"/>
    <cellStyle name="Comma 4 3 4 4 3" xfId="5862" xr:uid="{00000000-0005-0000-0000-0000A7090000}"/>
    <cellStyle name="Comma 4 3 4 4 3 2" xfId="14312" xr:uid="{CAE5F127-BA9C-4D9C-B3B9-24B1068F6B4F}"/>
    <cellStyle name="Comma 4 3 4 4 3 3" xfId="22752" xr:uid="{B5928290-DA08-402E-9366-9FEC001FE525}"/>
    <cellStyle name="Comma 4 3 4 4 4" xfId="10094" xr:uid="{F990CB37-8148-4145-9240-B83D59FCF666}"/>
    <cellStyle name="Comma 4 3 4 4 5" xfId="18535" xr:uid="{85B3D694-17A4-4C2B-BD1E-6CB4ADB3A8BC}"/>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5C840828-AA32-4E0D-9973-55C3397F3DD1}"/>
    <cellStyle name="Comma 4 3 4 5 2 2 3" xfId="25310" xr:uid="{42FFDFBF-78F0-49E1-8A3A-91A94715E2FC}"/>
    <cellStyle name="Comma 4 3 4 5 2 3" xfId="12652" xr:uid="{2374CE26-801D-42CF-B833-B7CE5092FEED}"/>
    <cellStyle name="Comma 4 3 4 5 2 4" xfId="21093" xr:uid="{EB4AB8CD-43B9-45E1-9C34-573442686E91}"/>
    <cellStyle name="Comma 4 3 4 5 3" xfId="6275" xr:uid="{00000000-0005-0000-0000-0000AB090000}"/>
    <cellStyle name="Comma 4 3 4 5 3 2" xfId="14725" xr:uid="{4BACFA11-E979-4E3F-8FC6-67040BEEFF31}"/>
    <cellStyle name="Comma 4 3 4 5 3 3" xfId="23165" xr:uid="{A81C674F-9B76-4682-8110-FFBFB2BFC435}"/>
    <cellStyle name="Comma 4 3 4 5 4" xfId="10507" xr:uid="{842AEBA0-1AE6-4BBE-8A11-1F74B5307194}"/>
    <cellStyle name="Comma 4 3 4 5 5" xfId="18948" xr:uid="{C4485E56-9904-4622-8E6C-E51A71806049}"/>
    <cellStyle name="Comma 4 3 4 6" xfId="2404" xr:uid="{00000000-0005-0000-0000-0000AC090000}"/>
    <cellStyle name="Comma 4 3 4 6 2" xfId="6688" xr:uid="{00000000-0005-0000-0000-0000AD090000}"/>
    <cellStyle name="Comma 4 3 4 6 2 2" xfId="15138" xr:uid="{6464BACA-0B9B-4F83-B1B9-A34D8254287C}"/>
    <cellStyle name="Comma 4 3 4 6 2 3" xfId="23578" xr:uid="{4CF102DC-D36A-4C9A-936A-9F04FA749DAD}"/>
    <cellStyle name="Comma 4 3 4 6 3" xfId="10920" xr:uid="{F5540802-50C1-4156-BEDD-32821349A97C}"/>
    <cellStyle name="Comma 4 3 4 6 4" xfId="19361" xr:uid="{7AF53C31-FF29-4743-8981-7C86B366FF43}"/>
    <cellStyle name="Comma 4 3 4 7" xfId="2700" xr:uid="{00000000-0005-0000-0000-0000AE090000}"/>
    <cellStyle name="Comma 4 3 4 8" xfId="2782" xr:uid="{00000000-0005-0000-0000-0000AF090000}"/>
    <cellStyle name="Comma 4 3 4 8 2" xfId="7005" xr:uid="{00000000-0005-0000-0000-0000B0090000}"/>
    <cellStyle name="Comma 4 3 4 8 2 2" xfId="15455" xr:uid="{1F36F6FD-A141-4172-B86A-E6704AAE44FF}"/>
    <cellStyle name="Comma 4 3 4 8 2 3" xfId="23895" xr:uid="{0B50EA32-EEE1-4203-9794-57D1FC814B38}"/>
    <cellStyle name="Comma 4 3 4 8 3" xfId="11237" xr:uid="{606FEC57-FFA8-4755-A3FC-C738AE661B2B}"/>
    <cellStyle name="Comma 4 3 4 8 4" xfId="19678" xr:uid="{A980F3A1-6107-4310-952E-55722FF53492}"/>
    <cellStyle name="Comma 4 3 4 9" xfId="4622" xr:uid="{00000000-0005-0000-0000-0000B1090000}"/>
    <cellStyle name="Comma 4 3 4 9 2" xfId="13072" xr:uid="{A8F1D801-1A97-4E4D-B80C-88980D4A10A9}"/>
    <cellStyle name="Comma 4 3 4 9 3" xfId="21512" xr:uid="{B8E89644-BB4B-44D1-BF82-B2FCD2C4E4D7}"/>
    <cellStyle name="Comma 4 3 5" xfId="152" xr:uid="{00000000-0005-0000-0000-0000B2090000}"/>
    <cellStyle name="Comma 4 3 5 10" xfId="8855" xr:uid="{60510B42-F8CB-4999-A48C-86909B589ED9}"/>
    <cellStyle name="Comma 4 3 5 11" xfId="17296" xr:uid="{840CA467-A71A-4693-98A2-7A19902054F2}"/>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B9908ADF-6866-4EAB-B195-31FF7B9B39AD}"/>
    <cellStyle name="Comma 4 3 5 2 2 2 3" xfId="24072" xr:uid="{5C03190C-647C-492A-995F-EDC08E0F9BE7}"/>
    <cellStyle name="Comma 4 3 5 2 2 3" xfId="11414" xr:uid="{59DAE33B-93FA-4FC9-8BCF-A142B9252289}"/>
    <cellStyle name="Comma 4 3 5 2 2 4" xfId="19855" xr:uid="{B4BA743C-D758-422D-8DF4-23F2F31F9594}"/>
    <cellStyle name="Comma 4 3 5 2 3" xfId="5037" xr:uid="{00000000-0005-0000-0000-0000B6090000}"/>
    <cellStyle name="Comma 4 3 5 2 3 2" xfId="13487" xr:uid="{E0C555C3-A85E-4C61-A70F-3893EF2BE5D6}"/>
    <cellStyle name="Comma 4 3 5 2 3 3" xfId="21927" xr:uid="{CEF35585-0ACF-45F1-961B-2B28E3867DEB}"/>
    <cellStyle name="Comma 4 3 5 2 4" xfId="9269" xr:uid="{F3E17E83-E88E-4C72-9B9A-2C688CD390B7}"/>
    <cellStyle name="Comma 4 3 5 2 5" xfId="17710" xr:uid="{727EE39F-7EC7-407C-8270-A4D284D7A0F4}"/>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8866F95E-3364-41D2-BCF1-4AEEEE82207B}"/>
    <cellStyle name="Comma 4 3 5 3 2 2 3" xfId="24485" xr:uid="{109E718D-35C4-44FD-81C5-F1C89C023B23}"/>
    <cellStyle name="Comma 4 3 5 3 2 3" xfId="11827" xr:uid="{92CD2C50-960A-47C4-B8CF-FCECB972AA3D}"/>
    <cellStyle name="Comma 4 3 5 3 2 4" xfId="20268" xr:uid="{CE1BBE8F-782D-44DA-9612-7B95FD52D41B}"/>
    <cellStyle name="Comma 4 3 5 3 3" xfId="5450" xr:uid="{00000000-0005-0000-0000-0000BA090000}"/>
    <cellStyle name="Comma 4 3 5 3 3 2" xfId="13900" xr:uid="{EE887EFA-413C-4332-A816-19F666959BFC}"/>
    <cellStyle name="Comma 4 3 5 3 3 3" xfId="22340" xr:uid="{525D927E-3B97-4BD3-B900-BBAD2BF7C102}"/>
    <cellStyle name="Comma 4 3 5 3 4" xfId="9682" xr:uid="{B5681271-F3D6-46F3-8859-BB337F812FC4}"/>
    <cellStyle name="Comma 4 3 5 3 5" xfId="18123" xr:uid="{6A092EA7-F66E-4990-B665-1B9D7E3120D2}"/>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1AB1776C-F4C5-40D2-BD02-0B54A7DF2F28}"/>
    <cellStyle name="Comma 4 3 5 4 2 2 3" xfId="24898" xr:uid="{9FE991C9-F9B5-4C0C-A522-B5963D4FDD47}"/>
    <cellStyle name="Comma 4 3 5 4 2 3" xfId="12240" xr:uid="{95005198-285F-465C-B336-CC69883D9CDC}"/>
    <cellStyle name="Comma 4 3 5 4 2 4" xfId="20681" xr:uid="{375F88AA-55C1-4FFB-94A3-EBE456AB1CF0}"/>
    <cellStyle name="Comma 4 3 5 4 3" xfId="5863" xr:uid="{00000000-0005-0000-0000-0000BE090000}"/>
    <cellStyle name="Comma 4 3 5 4 3 2" xfId="14313" xr:uid="{DBD99034-004D-426C-9E13-82780FFFBEE5}"/>
    <cellStyle name="Comma 4 3 5 4 3 3" xfId="22753" xr:uid="{614A0A79-98AC-49C4-8257-5D1888CF28B5}"/>
    <cellStyle name="Comma 4 3 5 4 4" xfId="10095" xr:uid="{8746E691-C4FA-4BFF-B7F3-DC6E4B3CDB76}"/>
    <cellStyle name="Comma 4 3 5 4 5" xfId="18536" xr:uid="{26DA1784-EFCC-4DC1-AF5B-57BEC506A56E}"/>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B063C71C-3C45-4C51-A65D-27777699CA4F}"/>
    <cellStyle name="Comma 4 3 5 5 2 2 3" xfId="25311" xr:uid="{38FD6D51-AA6B-41A4-B05E-3AB161776D90}"/>
    <cellStyle name="Comma 4 3 5 5 2 3" xfId="12653" xr:uid="{5DCAAED7-EADD-4CAC-9AD3-CAD675F7B391}"/>
    <cellStyle name="Comma 4 3 5 5 2 4" xfId="21094" xr:uid="{E906F8E6-7774-4E09-9CE7-5F3D239DDAFA}"/>
    <cellStyle name="Comma 4 3 5 5 3" xfId="6276" xr:uid="{00000000-0005-0000-0000-0000C2090000}"/>
    <cellStyle name="Comma 4 3 5 5 3 2" xfId="14726" xr:uid="{E8E420F9-CA63-4878-BE16-47949F003A68}"/>
    <cellStyle name="Comma 4 3 5 5 3 3" xfId="23166" xr:uid="{C65A986D-0744-455B-B3CF-16AF524868E2}"/>
    <cellStyle name="Comma 4 3 5 5 4" xfId="10508" xr:uid="{C54750A5-26C9-49B3-8061-AE8553CD71A9}"/>
    <cellStyle name="Comma 4 3 5 5 5" xfId="18949" xr:uid="{4930859E-1548-402B-BB48-085FAB1067F1}"/>
    <cellStyle name="Comma 4 3 5 6" xfId="2405" xr:uid="{00000000-0005-0000-0000-0000C3090000}"/>
    <cellStyle name="Comma 4 3 5 6 2" xfId="6689" xr:uid="{00000000-0005-0000-0000-0000C4090000}"/>
    <cellStyle name="Comma 4 3 5 6 2 2" xfId="15139" xr:uid="{EBF57A9E-01AE-4B12-A248-4AD92768E3D5}"/>
    <cellStyle name="Comma 4 3 5 6 2 3" xfId="23579" xr:uid="{8C7B3F69-FDDB-4C66-B62C-44465DE9B42F}"/>
    <cellStyle name="Comma 4 3 5 6 3" xfId="10921" xr:uid="{64C34169-04CA-4562-838D-61B0F29EA498}"/>
    <cellStyle name="Comma 4 3 5 6 4" xfId="19362" xr:uid="{78FC8577-DC6B-4E4F-8812-7D346F3DE555}"/>
    <cellStyle name="Comma 4 3 5 7" xfId="2701" xr:uid="{00000000-0005-0000-0000-0000C5090000}"/>
    <cellStyle name="Comma 4 3 5 8" xfId="2783" xr:uid="{00000000-0005-0000-0000-0000C6090000}"/>
    <cellStyle name="Comma 4 3 5 8 2" xfId="7006" xr:uid="{00000000-0005-0000-0000-0000C7090000}"/>
    <cellStyle name="Comma 4 3 5 8 2 2" xfId="15456" xr:uid="{BFB67DB7-03AA-43D7-AF57-E9637A491987}"/>
    <cellStyle name="Comma 4 3 5 8 2 3" xfId="23896" xr:uid="{B69AAEFC-90A2-4040-B766-3C291DF2F32E}"/>
    <cellStyle name="Comma 4 3 5 8 3" xfId="11238" xr:uid="{71AB38B2-DA08-4739-BFF0-0A1470F54658}"/>
    <cellStyle name="Comma 4 3 5 8 4" xfId="19679" xr:uid="{826B77D3-6CAC-4ECD-B24E-2331DFFD1B16}"/>
    <cellStyle name="Comma 4 3 5 9" xfId="4623" xr:uid="{00000000-0005-0000-0000-0000C8090000}"/>
    <cellStyle name="Comma 4 3 5 9 2" xfId="13073" xr:uid="{8B5AE500-346D-4A51-8D74-9EB28C478A74}"/>
    <cellStyle name="Comma 4 3 5 9 3" xfId="21513" xr:uid="{2D278158-2A55-41BE-8CAE-D18DB01759B9}"/>
    <cellStyle name="Comma 4 4" xfId="153" xr:uid="{00000000-0005-0000-0000-0000C9090000}"/>
    <cellStyle name="Comma 4 4 10" xfId="2784" xr:uid="{00000000-0005-0000-0000-0000CA090000}"/>
    <cellStyle name="Comma 4 4 10 2" xfId="7007" xr:uid="{00000000-0005-0000-0000-0000CB090000}"/>
    <cellStyle name="Comma 4 4 10 2 2" xfId="15457" xr:uid="{ACBD668D-56A8-4B00-A05C-7006E41CCB8C}"/>
    <cellStyle name="Comma 4 4 10 2 3" xfId="23897" xr:uid="{108BCC77-D9FA-4937-8B22-626E95DCCBFE}"/>
    <cellStyle name="Comma 4 4 10 3" xfId="11239" xr:uid="{F7D1C46F-436C-4281-9A1A-9C07E3959750}"/>
    <cellStyle name="Comma 4 4 10 4" xfId="19680" xr:uid="{9D01CA5A-DCCC-4484-A906-C52BBD05EEE0}"/>
    <cellStyle name="Comma 4 4 11" xfId="4624" xr:uid="{00000000-0005-0000-0000-0000CC090000}"/>
    <cellStyle name="Comma 4 4 11 2" xfId="13074" xr:uid="{B3A0F649-029B-4059-96D7-7CF5A8D557F8}"/>
    <cellStyle name="Comma 4 4 11 3" xfId="21514" xr:uid="{625F881F-AF59-4230-89D6-3F828B4F53CD}"/>
    <cellStyle name="Comma 4 4 12" xfId="8856" xr:uid="{5F5074D1-7B5F-4767-A24E-1DC4D9A48122}"/>
    <cellStyle name="Comma 4 4 13" xfId="17297" xr:uid="{E92A8332-0D20-4A4C-9924-29B4633F9001}"/>
    <cellStyle name="Comma 4 4 2" xfId="154" xr:uid="{00000000-0005-0000-0000-0000CD090000}"/>
    <cellStyle name="Comma 4 4 2 10" xfId="4625" xr:uid="{00000000-0005-0000-0000-0000CE090000}"/>
    <cellStyle name="Comma 4 4 2 10 2" xfId="13075" xr:uid="{D4945608-DF7F-4F84-B535-F85769EFD2B8}"/>
    <cellStyle name="Comma 4 4 2 10 3" xfId="21515" xr:uid="{F7CF7284-6D2B-4212-A414-223A7E563084}"/>
    <cellStyle name="Comma 4 4 2 11" xfId="8857" xr:uid="{F6E39BEA-3AF4-4B65-BC19-B2ED29186B56}"/>
    <cellStyle name="Comma 4 4 2 12" xfId="17298" xr:uid="{806619EA-EDB3-4B0B-A0CC-DAF7BF85F5B4}"/>
    <cellStyle name="Comma 4 4 2 2" xfId="155" xr:uid="{00000000-0005-0000-0000-0000CF090000}"/>
    <cellStyle name="Comma 4 4 2 2 10" xfId="8858" xr:uid="{AE97CDC7-1892-4B59-B62D-C513D2BA1749}"/>
    <cellStyle name="Comma 4 4 2 2 11" xfId="17299" xr:uid="{A22718C1-E352-4C02-B309-4E8258CC787F}"/>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FEF33D37-E795-4203-AF47-0B809D649C53}"/>
    <cellStyle name="Comma 4 4 2 2 2 2 2 3" xfId="24075" xr:uid="{1C46A438-1A2C-4ABC-BA34-8BAB23ECD1C8}"/>
    <cellStyle name="Comma 4 4 2 2 2 2 3" xfId="11417" xr:uid="{CEC2407F-2FC2-4235-BDB1-ADC4EAD06757}"/>
    <cellStyle name="Comma 4 4 2 2 2 2 4" xfId="19858" xr:uid="{DB2935A7-C5F5-4059-8A61-E7C3DC2AF592}"/>
    <cellStyle name="Comma 4 4 2 2 2 3" xfId="5040" xr:uid="{00000000-0005-0000-0000-0000D3090000}"/>
    <cellStyle name="Comma 4 4 2 2 2 3 2" xfId="13490" xr:uid="{FDC945BA-6D69-4CDD-A3FF-E200D7984E30}"/>
    <cellStyle name="Comma 4 4 2 2 2 3 3" xfId="21930" xr:uid="{89F5E4ED-7F54-4674-8DB6-5D37807ED3ED}"/>
    <cellStyle name="Comma 4 4 2 2 2 4" xfId="9272" xr:uid="{6D0AF4CE-5345-4BCE-B2BE-A21BE63E12B7}"/>
    <cellStyle name="Comma 4 4 2 2 2 5" xfId="17713" xr:uid="{21603097-F2D4-4163-93C2-BBB00B4A5A5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FD420189-664A-450B-8AE0-8B2EEF8A5B5D}"/>
    <cellStyle name="Comma 4 4 2 2 3 2 2 3" xfId="24488" xr:uid="{60A9427E-76AC-4386-AB4E-BF06E6239338}"/>
    <cellStyle name="Comma 4 4 2 2 3 2 3" xfId="11830" xr:uid="{F25D3650-73E8-4296-A927-D3153D88EC74}"/>
    <cellStyle name="Comma 4 4 2 2 3 2 4" xfId="20271" xr:uid="{B0642B0D-49EC-4192-82AA-53FE5DCD437C}"/>
    <cellStyle name="Comma 4 4 2 2 3 3" xfId="5453" xr:uid="{00000000-0005-0000-0000-0000D7090000}"/>
    <cellStyle name="Comma 4 4 2 2 3 3 2" xfId="13903" xr:uid="{05ABDAF7-96A4-48FD-A91B-D00251A5CB7C}"/>
    <cellStyle name="Comma 4 4 2 2 3 3 3" xfId="22343" xr:uid="{DDAE7420-DE72-4D5C-8AE7-16ECB73A68C8}"/>
    <cellStyle name="Comma 4 4 2 2 3 4" xfId="9685" xr:uid="{8FAD2BE8-81B6-4A06-BDCE-FBD7BA131385}"/>
    <cellStyle name="Comma 4 4 2 2 3 5" xfId="18126" xr:uid="{97902891-CAF9-4F2B-A00E-37D42418BDEB}"/>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D9A581A6-B563-4184-836C-280E543C5F2F}"/>
    <cellStyle name="Comma 4 4 2 2 4 2 2 3" xfId="24901" xr:uid="{A7369D3C-9BFC-45BF-BF47-FB2B1D7EE6F1}"/>
    <cellStyle name="Comma 4 4 2 2 4 2 3" xfId="12243" xr:uid="{B37C8710-FD93-45F8-A220-FF9867441556}"/>
    <cellStyle name="Comma 4 4 2 2 4 2 4" xfId="20684" xr:uid="{69B87B96-6E30-4C9A-B620-559595ABEA60}"/>
    <cellStyle name="Comma 4 4 2 2 4 3" xfId="5866" xr:uid="{00000000-0005-0000-0000-0000DB090000}"/>
    <cellStyle name="Comma 4 4 2 2 4 3 2" xfId="14316" xr:uid="{24A8ACC2-7C22-4A5A-92F5-987AEA2381A2}"/>
    <cellStyle name="Comma 4 4 2 2 4 3 3" xfId="22756" xr:uid="{151CFF74-D15C-4096-AE9D-6A395050FFCF}"/>
    <cellStyle name="Comma 4 4 2 2 4 4" xfId="10098" xr:uid="{5D27EA61-C8AE-4D4E-9743-393A27E29D92}"/>
    <cellStyle name="Comma 4 4 2 2 4 5" xfId="18539" xr:uid="{7FAC3854-528E-45CD-B71E-892793BE61C2}"/>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84D6430E-5FF6-4AA5-BA6C-55C754C3E44D}"/>
    <cellStyle name="Comma 4 4 2 2 5 2 2 3" xfId="25314" xr:uid="{17BC21FE-76C7-4290-9BB0-6719544BC016}"/>
    <cellStyle name="Comma 4 4 2 2 5 2 3" xfId="12656" xr:uid="{D28EBEA0-4512-457F-B89B-3B7263CBCB8B}"/>
    <cellStyle name="Comma 4 4 2 2 5 2 4" xfId="21097" xr:uid="{EB227FDC-0936-47FB-A57F-BE05823663C2}"/>
    <cellStyle name="Comma 4 4 2 2 5 3" xfId="6279" xr:uid="{00000000-0005-0000-0000-0000DF090000}"/>
    <cellStyle name="Comma 4 4 2 2 5 3 2" xfId="14729" xr:uid="{C5B6B5BE-05F5-4299-BE3D-FB9165F9E3B1}"/>
    <cellStyle name="Comma 4 4 2 2 5 3 3" xfId="23169" xr:uid="{848CCAA9-D106-4A1E-9602-C02E020F10D2}"/>
    <cellStyle name="Comma 4 4 2 2 5 4" xfId="10511" xr:uid="{1F93D2DB-EB64-4AE3-9D3A-200FC65F720F}"/>
    <cellStyle name="Comma 4 4 2 2 5 5" xfId="18952" xr:uid="{B8897AA8-EE7E-4CB5-AD3A-FE7B967E973C}"/>
    <cellStyle name="Comma 4 4 2 2 6" xfId="2408" xr:uid="{00000000-0005-0000-0000-0000E0090000}"/>
    <cellStyle name="Comma 4 4 2 2 6 2" xfId="6692" xr:uid="{00000000-0005-0000-0000-0000E1090000}"/>
    <cellStyle name="Comma 4 4 2 2 6 2 2" xfId="15142" xr:uid="{C97B4B07-3AA8-4F10-B6E3-EE5F7C959C44}"/>
    <cellStyle name="Comma 4 4 2 2 6 2 3" xfId="23582" xr:uid="{FC17D9EB-90D0-4285-8039-9070C7F8BA8E}"/>
    <cellStyle name="Comma 4 4 2 2 6 3" xfId="10924" xr:uid="{F9EA5EBE-AA92-461B-B272-04DD894A277F}"/>
    <cellStyle name="Comma 4 4 2 2 6 4" xfId="19365" xr:uid="{4E6E8464-EC30-4910-BF7D-B8A3C0E1975C}"/>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DD548A7E-1BD7-4204-B6F3-102A91AA5569}"/>
    <cellStyle name="Comma 4 4 2 2 8 2 3" xfId="23899" xr:uid="{3C495B49-DBDB-4081-95E2-D40C8D450D62}"/>
    <cellStyle name="Comma 4 4 2 2 8 3" xfId="11241" xr:uid="{30DBB0DF-9551-4867-ADA5-6E2A816A1606}"/>
    <cellStyle name="Comma 4 4 2 2 8 4" xfId="19682" xr:uid="{7C677E83-3F29-49C2-A9FE-8F5D299EEF8D}"/>
    <cellStyle name="Comma 4 4 2 2 9" xfId="4626" xr:uid="{00000000-0005-0000-0000-0000E5090000}"/>
    <cellStyle name="Comma 4 4 2 2 9 2" xfId="13076" xr:uid="{29ADB56C-51EE-45F0-AEF4-810A44BFB640}"/>
    <cellStyle name="Comma 4 4 2 2 9 3" xfId="21516" xr:uid="{5DAA23BF-5A12-43D9-84D7-CA40A6D6DFDF}"/>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214051EF-BFC3-4C15-9B71-B4CAC2C93EE6}"/>
    <cellStyle name="Comma 4 4 2 3 2 2 3" xfId="24074" xr:uid="{FA09C089-C7E0-4A82-B366-7EA69ECCED47}"/>
    <cellStyle name="Comma 4 4 2 3 2 3" xfId="11416" xr:uid="{647C625A-A740-41F0-A38D-5AE8C887F15F}"/>
    <cellStyle name="Comma 4 4 2 3 2 4" xfId="19857" xr:uid="{D5A11928-F4E8-4D68-B301-183B9920412B}"/>
    <cellStyle name="Comma 4 4 2 3 3" xfId="5039" xr:uid="{00000000-0005-0000-0000-0000E9090000}"/>
    <cellStyle name="Comma 4 4 2 3 3 2" xfId="13489" xr:uid="{33B74280-9FB0-49A6-BEF0-95A8ABBED6A4}"/>
    <cellStyle name="Comma 4 4 2 3 3 3" xfId="21929" xr:uid="{ACAE3E83-EB04-485D-B0CE-06101B567E73}"/>
    <cellStyle name="Comma 4 4 2 3 4" xfId="9271" xr:uid="{AFD101AB-EBF3-4B3D-985F-7DBB7FA2DF70}"/>
    <cellStyle name="Comma 4 4 2 3 5" xfId="17712" xr:uid="{CDD879D5-03C0-4B0A-A755-F2957154DB91}"/>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A5768804-2406-489A-A661-004E2329F042}"/>
    <cellStyle name="Comma 4 4 2 4 2 2 3" xfId="24487" xr:uid="{9B416778-4629-46C3-A346-3CC5948439F5}"/>
    <cellStyle name="Comma 4 4 2 4 2 3" xfId="11829" xr:uid="{F009A19A-98C6-47B2-9EC7-F8587CB31CCB}"/>
    <cellStyle name="Comma 4 4 2 4 2 4" xfId="20270" xr:uid="{0B3E38D9-A065-4DDA-ABC3-E2E92D39C3ED}"/>
    <cellStyle name="Comma 4 4 2 4 3" xfId="5452" xr:uid="{00000000-0005-0000-0000-0000ED090000}"/>
    <cellStyle name="Comma 4 4 2 4 3 2" xfId="13902" xr:uid="{56335368-EE3A-46AB-B40B-8C687810E7B3}"/>
    <cellStyle name="Comma 4 4 2 4 3 3" xfId="22342" xr:uid="{10EC8B47-DD7F-46A3-A2E8-E1230F2E6E8A}"/>
    <cellStyle name="Comma 4 4 2 4 4" xfId="9684" xr:uid="{360E5085-FA70-489C-96DC-D948F89286A0}"/>
    <cellStyle name="Comma 4 4 2 4 5" xfId="18125" xr:uid="{C505A6F5-7059-4A19-8EB0-AE149B820679}"/>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43C1AFCF-9232-401E-9939-49EF0B7D7F9C}"/>
    <cellStyle name="Comma 4 4 2 5 2 2 3" xfId="24900" xr:uid="{CAE5008F-638B-4575-98C9-4C31C20B2019}"/>
    <cellStyle name="Comma 4 4 2 5 2 3" xfId="12242" xr:uid="{DF3FF8E3-6D0E-4A09-A639-59FDF70DB0C6}"/>
    <cellStyle name="Comma 4 4 2 5 2 4" xfId="20683" xr:uid="{13E6EA3E-B586-4343-A0A1-0B7DA860F8A4}"/>
    <cellStyle name="Comma 4 4 2 5 3" xfId="5865" xr:uid="{00000000-0005-0000-0000-0000F1090000}"/>
    <cellStyle name="Comma 4 4 2 5 3 2" xfId="14315" xr:uid="{E4A57A56-68D3-491B-96F5-D8664A1FB981}"/>
    <cellStyle name="Comma 4 4 2 5 3 3" xfId="22755" xr:uid="{CB1A3C35-FF65-45F3-8947-085F146EC30C}"/>
    <cellStyle name="Comma 4 4 2 5 4" xfId="10097" xr:uid="{177C41A9-8C1F-49C6-BBEC-1E4A6A99B995}"/>
    <cellStyle name="Comma 4 4 2 5 5" xfId="18538" xr:uid="{CFEDE42B-0315-453C-ACF6-56DF33438289}"/>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D7D3F6C6-CC82-4656-9775-6F0980EBDA88}"/>
    <cellStyle name="Comma 4 4 2 6 2 2 3" xfId="25313" xr:uid="{DE44D457-51C1-4825-BB6C-E8E7111076BC}"/>
    <cellStyle name="Comma 4 4 2 6 2 3" xfId="12655" xr:uid="{FE7EC62B-49E5-4D62-AF38-17207E078168}"/>
    <cellStyle name="Comma 4 4 2 6 2 4" xfId="21096" xr:uid="{37DBFB6A-0215-4B54-BFA2-D191A1B7F055}"/>
    <cellStyle name="Comma 4 4 2 6 3" xfId="6278" xr:uid="{00000000-0005-0000-0000-0000F5090000}"/>
    <cellStyle name="Comma 4 4 2 6 3 2" xfId="14728" xr:uid="{04BD5DB9-0710-49A1-885B-0C3DA077B615}"/>
    <cellStyle name="Comma 4 4 2 6 3 3" xfId="23168" xr:uid="{8D1B0505-775E-4978-A00D-CF2279AF4758}"/>
    <cellStyle name="Comma 4 4 2 6 4" xfId="10510" xr:uid="{6AED5281-2D0D-401F-A867-131C343ABAD9}"/>
    <cellStyle name="Comma 4 4 2 6 5" xfId="18951" xr:uid="{94FD3462-4EC6-4E1A-8075-9979B8A86907}"/>
    <cellStyle name="Comma 4 4 2 7" xfId="2407" xr:uid="{00000000-0005-0000-0000-0000F6090000}"/>
    <cellStyle name="Comma 4 4 2 7 2" xfId="6691" xr:uid="{00000000-0005-0000-0000-0000F7090000}"/>
    <cellStyle name="Comma 4 4 2 7 2 2" xfId="15141" xr:uid="{A12AF217-25A7-4800-9EFD-CB484DACCC0C}"/>
    <cellStyle name="Comma 4 4 2 7 2 3" xfId="23581" xr:uid="{3D887883-25E6-497B-8A75-B5DA1EE56BD9}"/>
    <cellStyle name="Comma 4 4 2 7 3" xfId="10923" xr:uid="{AE1CD9B0-86CD-4A25-8BD8-D714EB22CFE8}"/>
    <cellStyle name="Comma 4 4 2 7 4" xfId="19364" xr:uid="{9F9E2A6A-7FA7-4A2C-859A-6A67A16B28A2}"/>
    <cellStyle name="Comma 4 4 2 8" xfId="2703" xr:uid="{00000000-0005-0000-0000-0000F8090000}"/>
    <cellStyle name="Comma 4 4 2 9" xfId="2785" xr:uid="{00000000-0005-0000-0000-0000F9090000}"/>
    <cellStyle name="Comma 4 4 2 9 2" xfId="7008" xr:uid="{00000000-0005-0000-0000-0000FA090000}"/>
    <cellStyle name="Comma 4 4 2 9 2 2" xfId="15458" xr:uid="{9B7258F1-3044-4E59-BE34-F14FF4A5C0AA}"/>
    <cellStyle name="Comma 4 4 2 9 2 3" xfId="23898" xr:uid="{ACE5A7B6-79D7-452B-9658-A063DAC30050}"/>
    <cellStyle name="Comma 4 4 2 9 3" xfId="11240" xr:uid="{1AD50C16-4D1C-4427-BD6B-3F6D5273A883}"/>
    <cellStyle name="Comma 4 4 2 9 4" xfId="19681" xr:uid="{A902293D-476D-4B20-BCFC-2C95795EE1BC}"/>
    <cellStyle name="Comma 4 4 3" xfId="156" xr:uid="{00000000-0005-0000-0000-0000FB090000}"/>
    <cellStyle name="Comma 4 4 3 10" xfId="8859" xr:uid="{22BE6A51-63DD-4161-941E-6D845B68B5DC}"/>
    <cellStyle name="Comma 4 4 3 11" xfId="17300" xr:uid="{7F3437FE-2522-4181-98A7-57697145BC56}"/>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C391519E-1831-4621-BDE4-4701EEE6F11F}"/>
    <cellStyle name="Comma 4 4 3 2 2 2 3" xfId="24076" xr:uid="{B3A67BA4-38A2-4B97-A658-9AD15FCE2322}"/>
    <cellStyle name="Comma 4 4 3 2 2 3" xfId="11418" xr:uid="{86D586C0-744B-47FA-B706-836CF5FEEFDD}"/>
    <cellStyle name="Comma 4 4 3 2 2 4" xfId="19859" xr:uid="{65361C95-513E-4B06-91E5-515A9EB48B02}"/>
    <cellStyle name="Comma 4 4 3 2 3" xfId="5041" xr:uid="{00000000-0005-0000-0000-0000FF090000}"/>
    <cellStyle name="Comma 4 4 3 2 3 2" xfId="13491" xr:uid="{9CF186FC-43C5-423F-A6BD-9A7ACB18AA9A}"/>
    <cellStyle name="Comma 4 4 3 2 3 3" xfId="21931" xr:uid="{37E4C87C-93FA-4272-9211-001582F41F15}"/>
    <cellStyle name="Comma 4 4 3 2 4" xfId="9273" xr:uid="{0D6CADCF-980C-43C2-98C2-20A209BD38F2}"/>
    <cellStyle name="Comma 4 4 3 2 5" xfId="17714" xr:uid="{8902568B-D0DD-4A1F-8C24-040AAFE5B126}"/>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BBE2EF70-A6F5-4FDC-B54B-9C90C18CBF3C}"/>
    <cellStyle name="Comma 4 4 3 3 2 2 3" xfId="24489" xr:uid="{F4312C13-9EB5-4ACB-B364-515B490A721D}"/>
    <cellStyle name="Comma 4 4 3 3 2 3" xfId="11831" xr:uid="{F5D747A0-A3AA-483D-85ED-42E5FFB4F2F4}"/>
    <cellStyle name="Comma 4 4 3 3 2 4" xfId="20272" xr:uid="{A7BB7A60-5544-4FFC-A401-6505937B53F1}"/>
    <cellStyle name="Comma 4 4 3 3 3" xfId="5454" xr:uid="{00000000-0005-0000-0000-0000030A0000}"/>
    <cellStyle name="Comma 4 4 3 3 3 2" xfId="13904" xr:uid="{3321B6E8-B4CE-4782-A078-7D65896322F5}"/>
    <cellStyle name="Comma 4 4 3 3 3 3" xfId="22344" xr:uid="{0B41E73D-32A2-4159-AE16-ACB8BAD9FF1A}"/>
    <cellStyle name="Comma 4 4 3 3 4" xfId="9686" xr:uid="{307A362E-905F-451B-9974-B3B3FE8A6484}"/>
    <cellStyle name="Comma 4 4 3 3 5" xfId="18127" xr:uid="{11B5EED5-39CC-4D90-9DA8-8BE44556BDE7}"/>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F04A7606-287B-4F53-93F6-96EA8666DD27}"/>
    <cellStyle name="Comma 4 4 3 4 2 2 3" xfId="24902" xr:uid="{EBFAD5FE-B0C8-44E4-8F17-5E535A8CCAF5}"/>
    <cellStyle name="Comma 4 4 3 4 2 3" xfId="12244" xr:uid="{AC1C70FC-35F3-4284-B608-0A44E1A792EB}"/>
    <cellStyle name="Comma 4 4 3 4 2 4" xfId="20685" xr:uid="{0E0DB765-6D4E-4780-BDD3-6CEDC3F321BD}"/>
    <cellStyle name="Comma 4 4 3 4 3" xfId="5867" xr:uid="{00000000-0005-0000-0000-0000070A0000}"/>
    <cellStyle name="Comma 4 4 3 4 3 2" xfId="14317" xr:uid="{3CEE3106-56D2-47F4-B0CA-B042C9095D1F}"/>
    <cellStyle name="Comma 4 4 3 4 3 3" xfId="22757" xr:uid="{C9EFBED9-937E-4BAA-8FE0-34E88529B6ED}"/>
    <cellStyle name="Comma 4 4 3 4 4" xfId="10099" xr:uid="{2BBED410-FFCE-4F10-9C9F-90A9A1AC8D3B}"/>
    <cellStyle name="Comma 4 4 3 4 5" xfId="18540" xr:uid="{892D8D24-66BE-41B1-A3F4-7E0D13D09A86}"/>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ACD9A224-68C2-4049-87B1-8193B0AE5188}"/>
    <cellStyle name="Comma 4 4 3 5 2 2 3" xfId="25315" xr:uid="{212883BF-E6DE-43A2-8DCA-419E05EE172E}"/>
    <cellStyle name="Comma 4 4 3 5 2 3" xfId="12657" xr:uid="{E8DB01E7-B07F-4D52-928A-72397C1E3B1C}"/>
    <cellStyle name="Comma 4 4 3 5 2 4" xfId="21098" xr:uid="{E1358A4E-18E2-4975-BC4D-9CFDE6A1A519}"/>
    <cellStyle name="Comma 4 4 3 5 3" xfId="6280" xr:uid="{00000000-0005-0000-0000-00000B0A0000}"/>
    <cellStyle name="Comma 4 4 3 5 3 2" xfId="14730" xr:uid="{7B82D603-99DF-4CD1-9996-6DF1792A3196}"/>
    <cellStyle name="Comma 4 4 3 5 3 3" xfId="23170" xr:uid="{16EA4147-2912-41D6-9CA1-5FAFA8C89720}"/>
    <cellStyle name="Comma 4 4 3 5 4" xfId="10512" xr:uid="{53B476D0-926D-48BE-9EE4-5D7008645555}"/>
    <cellStyle name="Comma 4 4 3 5 5" xfId="18953" xr:uid="{480248CB-8694-46FD-B66F-C77515B1CE88}"/>
    <cellStyle name="Comma 4 4 3 6" xfId="2409" xr:uid="{00000000-0005-0000-0000-00000C0A0000}"/>
    <cellStyle name="Comma 4 4 3 6 2" xfId="6693" xr:uid="{00000000-0005-0000-0000-00000D0A0000}"/>
    <cellStyle name="Comma 4 4 3 6 2 2" xfId="15143" xr:uid="{1FABAC06-C7F8-4715-8476-9643635ED5EB}"/>
    <cellStyle name="Comma 4 4 3 6 2 3" xfId="23583" xr:uid="{C6D4B511-B31F-4D45-AB73-38294896C004}"/>
    <cellStyle name="Comma 4 4 3 6 3" xfId="10925" xr:uid="{77219205-41AE-4172-91B2-7BE1142D414F}"/>
    <cellStyle name="Comma 4 4 3 6 4" xfId="19366" xr:uid="{06C6FAC9-73B1-4619-ABDB-655CAB23204D}"/>
    <cellStyle name="Comma 4 4 3 7" xfId="2705" xr:uid="{00000000-0005-0000-0000-00000E0A0000}"/>
    <cellStyle name="Comma 4 4 3 8" xfId="2787" xr:uid="{00000000-0005-0000-0000-00000F0A0000}"/>
    <cellStyle name="Comma 4 4 3 8 2" xfId="7010" xr:uid="{00000000-0005-0000-0000-0000100A0000}"/>
    <cellStyle name="Comma 4 4 3 8 2 2" xfId="15460" xr:uid="{8732D92F-C9C4-4DAF-A3D1-FBBAB1624482}"/>
    <cellStyle name="Comma 4 4 3 8 2 3" xfId="23900" xr:uid="{A52EBEC6-0FA8-4424-A388-6A7BF9EF3C21}"/>
    <cellStyle name="Comma 4 4 3 8 3" xfId="11242" xr:uid="{25C6E34E-1EFD-44F2-B592-F074D7BE5477}"/>
    <cellStyle name="Comma 4 4 3 8 4" xfId="19683" xr:uid="{6BA8CCF5-8353-4427-B2B4-C6C9BAE63540}"/>
    <cellStyle name="Comma 4 4 3 9" xfId="4627" xr:uid="{00000000-0005-0000-0000-0000110A0000}"/>
    <cellStyle name="Comma 4 4 3 9 2" xfId="13077" xr:uid="{DA0E1112-8C5E-4323-9B09-A7647EA5F0B8}"/>
    <cellStyle name="Comma 4 4 3 9 3" xfId="21517" xr:uid="{124B1F28-4926-4AF4-A0DF-0E477418E6A0}"/>
    <cellStyle name="Comma 4 4 4" xfId="690" xr:uid="{00000000-0005-0000-0000-0000120A0000}"/>
    <cellStyle name="Comma 4 4 4 2" xfId="2961" xr:uid="{00000000-0005-0000-0000-0000130A0000}"/>
    <cellStyle name="Comma 4 4 4 2 2" xfId="7183" xr:uid="{00000000-0005-0000-0000-0000140A0000}"/>
    <cellStyle name="Comma 4 4 4 2 2 2" xfId="15633" xr:uid="{5688B1E8-D5CA-4FD8-B925-77C9D51A53EB}"/>
    <cellStyle name="Comma 4 4 4 2 2 3" xfId="24073" xr:uid="{4F595871-F728-4F02-B307-9E2B1D38C2CB}"/>
    <cellStyle name="Comma 4 4 4 2 3" xfId="11415" xr:uid="{695F6528-FA66-4BCF-ADEE-057C5B7A711A}"/>
    <cellStyle name="Comma 4 4 4 2 4" xfId="19856" xr:uid="{502A243D-1D56-4AF4-B196-7273A7B0687E}"/>
    <cellStyle name="Comma 4 4 4 3" xfId="5038" xr:uid="{00000000-0005-0000-0000-0000150A0000}"/>
    <cellStyle name="Comma 4 4 4 3 2" xfId="13488" xr:uid="{70968B75-B4B3-4FD0-AF92-6901B8C6A457}"/>
    <cellStyle name="Comma 4 4 4 3 3" xfId="21928" xr:uid="{04432FE0-B98C-4B2B-B7C2-B948A3D65FCA}"/>
    <cellStyle name="Comma 4 4 4 4" xfId="9270" xr:uid="{AFEEB3FC-5EA5-49B4-B160-157E4B3F8673}"/>
    <cellStyle name="Comma 4 4 4 5" xfId="17711" xr:uid="{80A10B52-0E6E-489A-A7A9-0AA1964838BA}"/>
    <cellStyle name="Comma 4 4 5" xfId="1143" xr:uid="{00000000-0005-0000-0000-0000160A0000}"/>
    <cellStyle name="Comma 4 4 5 2" xfId="3374" xr:uid="{00000000-0005-0000-0000-0000170A0000}"/>
    <cellStyle name="Comma 4 4 5 2 2" xfId="7596" xr:uid="{00000000-0005-0000-0000-0000180A0000}"/>
    <cellStyle name="Comma 4 4 5 2 2 2" xfId="16046" xr:uid="{2C0F5AA9-CE77-4BE5-AA3A-27080AF2ABC4}"/>
    <cellStyle name="Comma 4 4 5 2 2 3" xfId="24486" xr:uid="{5FFF4F16-8C5B-48F8-82CB-BA47CE6E5F09}"/>
    <cellStyle name="Comma 4 4 5 2 3" xfId="11828" xr:uid="{8B493E44-0EC8-43FA-9C6D-8CFECFC58FAC}"/>
    <cellStyle name="Comma 4 4 5 2 4" xfId="20269" xr:uid="{C0679EDA-D3C0-479A-9DE9-00585C08C605}"/>
    <cellStyle name="Comma 4 4 5 3" xfId="5451" xr:uid="{00000000-0005-0000-0000-0000190A0000}"/>
    <cellStyle name="Comma 4 4 5 3 2" xfId="13901" xr:uid="{7126811F-C043-403C-AEBC-9D4E66B53072}"/>
    <cellStyle name="Comma 4 4 5 3 3" xfId="22341" xr:uid="{08BD8F27-CA1B-4EF5-A53E-6D4C5EB0B8D9}"/>
    <cellStyle name="Comma 4 4 5 4" xfId="9683" xr:uid="{5BAA700D-48F3-4A8A-BB0C-9E911288CDE1}"/>
    <cellStyle name="Comma 4 4 5 5" xfId="18124" xr:uid="{B67CEECE-820F-47F6-9017-E0B92DF602AB}"/>
    <cellStyle name="Comma 4 4 6" xfId="1557" xr:uid="{00000000-0005-0000-0000-00001A0A0000}"/>
    <cellStyle name="Comma 4 4 6 2" xfId="3787" xr:uid="{00000000-0005-0000-0000-00001B0A0000}"/>
    <cellStyle name="Comma 4 4 6 2 2" xfId="8009" xr:uid="{00000000-0005-0000-0000-00001C0A0000}"/>
    <cellStyle name="Comma 4 4 6 2 2 2" xfId="16459" xr:uid="{5B110756-CDB2-4B6B-8473-859DEC910904}"/>
    <cellStyle name="Comma 4 4 6 2 2 3" xfId="24899" xr:uid="{A7BA45BE-101B-475F-8265-082978E37B62}"/>
    <cellStyle name="Comma 4 4 6 2 3" xfId="12241" xr:uid="{39B9F9ED-2C48-47A4-BEF5-E6F1DEA61AD8}"/>
    <cellStyle name="Comma 4 4 6 2 4" xfId="20682" xr:uid="{DF3D6025-DA16-453F-917B-CFA8C33B334A}"/>
    <cellStyle name="Comma 4 4 6 3" xfId="5864" xr:uid="{00000000-0005-0000-0000-00001D0A0000}"/>
    <cellStyle name="Comma 4 4 6 3 2" xfId="14314" xr:uid="{91E5D9C2-5949-495E-A49E-65D3270AD3A0}"/>
    <cellStyle name="Comma 4 4 6 3 3" xfId="22754" xr:uid="{EC752AC7-744E-43B6-990D-10836F406042}"/>
    <cellStyle name="Comma 4 4 6 4" xfId="10096" xr:uid="{DD7A8FA7-2DDC-4063-997D-3C084A04CC42}"/>
    <cellStyle name="Comma 4 4 6 5" xfId="18537" xr:uid="{3C8DEEA7-36D8-49EA-8692-E86F3FDF4E10}"/>
    <cellStyle name="Comma 4 4 7" xfId="1971" xr:uid="{00000000-0005-0000-0000-00001E0A0000}"/>
    <cellStyle name="Comma 4 4 7 2" xfId="4200" xr:uid="{00000000-0005-0000-0000-00001F0A0000}"/>
    <cellStyle name="Comma 4 4 7 2 2" xfId="8422" xr:uid="{00000000-0005-0000-0000-0000200A0000}"/>
    <cellStyle name="Comma 4 4 7 2 2 2" xfId="16872" xr:uid="{226721BA-720B-44A5-989D-3C5337D63488}"/>
    <cellStyle name="Comma 4 4 7 2 2 3" xfId="25312" xr:uid="{5F0DD409-6081-4A71-BAFE-404604184024}"/>
    <cellStyle name="Comma 4 4 7 2 3" xfId="12654" xr:uid="{15785183-B501-4AF2-A08F-715723D18F29}"/>
    <cellStyle name="Comma 4 4 7 2 4" xfId="21095" xr:uid="{9F62C8A3-36F6-4AB9-85CE-95CCF6342AA1}"/>
    <cellStyle name="Comma 4 4 7 3" xfId="6277" xr:uid="{00000000-0005-0000-0000-0000210A0000}"/>
    <cellStyle name="Comma 4 4 7 3 2" xfId="14727" xr:uid="{19090DB7-9370-4D11-84B2-85EF65EE57D9}"/>
    <cellStyle name="Comma 4 4 7 3 3" xfId="23167" xr:uid="{0C0495FF-C155-4C95-A393-4A8F091032B0}"/>
    <cellStyle name="Comma 4 4 7 4" xfId="10509" xr:uid="{68397741-B727-4F4F-BDF2-719CCE36A8DA}"/>
    <cellStyle name="Comma 4 4 7 5" xfId="18950" xr:uid="{55463A99-927E-4D81-82AE-3C1764527135}"/>
    <cellStyle name="Comma 4 4 8" xfId="2406" xr:uid="{00000000-0005-0000-0000-0000220A0000}"/>
    <cellStyle name="Comma 4 4 8 2" xfId="6690" xr:uid="{00000000-0005-0000-0000-0000230A0000}"/>
    <cellStyle name="Comma 4 4 8 2 2" xfId="15140" xr:uid="{C93BE154-0653-442C-B1A5-F372643AA61C}"/>
    <cellStyle name="Comma 4 4 8 2 3" xfId="23580" xr:uid="{7F231418-61E5-4AD9-8940-AAEDF9E3B9E9}"/>
    <cellStyle name="Comma 4 4 8 3" xfId="10922" xr:uid="{466EBA2F-23F3-4982-9B3A-5C224D39248C}"/>
    <cellStyle name="Comma 4 4 8 4" xfId="19363" xr:uid="{5C5D69BA-9983-44F9-A409-F8DAD3165144}"/>
    <cellStyle name="Comma 4 4 9" xfId="2702" xr:uid="{00000000-0005-0000-0000-0000240A0000}"/>
    <cellStyle name="Comma 4 5" xfId="157" xr:uid="{00000000-0005-0000-0000-0000250A0000}"/>
    <cellStyle name="Comma 4 5 10" xfId="4628" xr:uid="{00000000-0005-0000-0000-0000260A0000}"/>
    <cellStyle name="Comma 4 5 10 2" xfId="13078" xr:uid="{A9E410E0-E602-4EF7-949C-67D66CFB1F88}"/>
    <cellStyle name="Comma 4 5 10 3" xfId="21518" xr:uid="{1C0A4393-4EE3-4E36-B49C-21A97501A6BB}"/>
    <cellStyle name="Comma 4 5 11" xfId="8860" xr:uid="{D9DB01CE-9D4D-454B-A23E-0C340896E848}"/>
    <cellStyle name="Comma 4 5 12" xfId="17301" xr:uid="{3B250ECE-9503-4BB6-9FC2-0E2651E4DF33}"/>
    <cellStyle name="Comma 4 5 2" xfId="158" xr:uid="{00000000-0005-0000-0000-0000270A0000}"/>
    <cellStyle name="Comma 4 5 2 10" xfId="8861" xr:uid="{DBD437C7-17AD-423D-A021-BBDE45AAE358}"/>
    <cellStyle name="Comma 4 5 2 11" xfId="17302" xr:uid="{EC6E0AA3-0B95-41DB-B7D5-AF28C5E20BA0}"/>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52BA54B8-EDC5-405C-81F6-206F31750A58}"/>
    <cellStyle name="Comma 4 5 2 2 2 2 3" xfId="24078" xr:uid="{B26A3A54-B2ED-462D-B746-8F4CC1257BD2}"/>
    <cellStyle name="Comma 4 5 2 2 2 3" xfId="11420" xr:uid="{1429AE37-B254-4C84-A1ED-06E2C4815584}"/>
    <cellStyle name="Comma 4 5 2 2 2 4" xfId="19861" xr:uid="{19554A89-6E94-4160-B893-4BE532F98ADC}"/>
    <cellStyle name="Comma 4 5 2 2 3" xfId="5043" xr:uid="{00000000-0005-0000-0000-00002B0A0000}"/>
    <cellStyle name="Comma 4 5 2 2 3 2" xfId="13493" xr:uid="{749FA13D-4038-435D-8683-C661262C3B43}"/>
    <cellStyle name="Comma 4 5 2 2 3 3" xfId="21933" xr:uid="{8E091BDF-8070-4699-AF9A-7A4C3BE0E2E4}"/>
    <cellStyle name="Comma 4 5 2 2 4" xfId="9275" xr:uid="{F2EC9142-B314-4D7F-A9F4-888B5F352758}"/>
    <cellStyle name="Comma 4 5 2 2 5" xfId="17716" xr:uid="{108D22AC-471A-41C1-8910-7A07A808E26E}"/>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95BAF936-282B-4143-AF73-D090B1628B9D}"/>
    <cellStyle name="Comma 4 5 2 3 2 2 3" xfId="24491" xr:uid="{F97BCBA7-E8C8-408C-B530-6011E04C3941}"/>
    <cellStyle name="Comma 4 5 2 3 2 3" xfId="11833" xr:uid="{BAB45C27-8403-4271-97D2-4FC6B26E7F79}"/>
    <cellStyle name="Comma 4 5 2 3 2 4" xfId="20274" xr:uid="{849823D0-1774-4A9B-BDF5-B3E377B12118}"/>
    <cellStyle name="Comma 4 5 2 3 3" xfId="5456" xr:uid="{00000000-0005-0000-0000-00002F0A0000}"/>
    <cellStyle name="Comma 4 5 2 3 3 2" xfId="13906" xr:uid="{E827ACAF-F520-4F31-BF91-6BFDFA5FF032}"/>
    <cellStyle name="Comma 4 5 2 3 3 3" xfId="22346" xr:uid="{43B6A039-3A7A-4072-B999-EB1680964934}"/>
    <cellStyle name="Comma 4 5 2 3 4" xfId="9688" xr:uid="{B7832DD9-E0B4-4563-B11A-E78C2AEE294F}"/>
    <cellStyle name="Comma 4 5 2 3 5" xfId="18129" xr:uid="{417A8E0D-6000-44E3-B687-38B0E1D27036}"/>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0C64889B-D145-4674-806D-0AFB71D3B238}"/>
    <cellStyle name="Comma 4 5 2 4 2 2 3" xfId="24904" xr:uid="{FF37580C-8F94-45BC-905E-ABF2B7629455}"/>
    <cellStyle name="Comma 4 5 2 4 2 3" xfId="12246" xr:uid="{E2682FF8-8AA1-4E64-A16A-540DB75E11FF}"/>
    <cellStyle name="Comma 4 5 2 4 2 4" xfId="20687" xr:uid="{DF5080C9-FC67-4F1C-8FAB-B6C6FAF3421B}"/>
    <cellStyle name="Comma 4 5 2 4 3" xfId="5869" xr:uid="{00000000-0005-0000-0000-0000330A0000}"/>
    <cellStyle name="Comma 4 5 2 4 3 2" xfId="14319" xr:uid="{B35BA1F4-D154-48D9-8FD1-3EE905F06C32}"/>
    <cellStyle name="Comma 4 5 2 4 3 3" xfId="22759" xr:uid="{7382193A-012B-4DCE-8607-D549EDA07F4B}"/>
    <cellStyle name="Comma 4 5 2 4 4" xfId="10101" xr:uid="{65C1BC74-8703-4908-A0FB-260AC1361648}"/>
    <cellStyle name="Comma 4 5 2 4 5" xfId="18542" xr:uid="{B76A450B-7116-4A2B-9BAC-E67FDAA5E82F}"/>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99D109A4-5D05-41D4-94E5-B65CE16900F6}"/>
    <cellStyle name="Comma 4 5 2 5 2 2 3" xfId="25317" xr:uid="{16C5A3C1-3B51-4BCA-A55B-D71157594145}"/>
    <cellStyle name="Comma 4 5 2 5 2 3" xfId="12659" xr:uid="{94CFEA68-D377-4E12-8FB3-27171688A37F}"/>
    <cellStyle name="Comma 4 5 2 5 2 4" xfId="21100" xr:uid="{C1C04AA5-2F29-41F4-879A-76EE3F2315AC}"/>
    <cellStyle name="Comma 4 5 2 5 3" xfId="6282" xr:uid="{00000000-0005-0000-0000-0000370A0000}"/>
    <cellStyle name="Comma 4 5 2 5 3 2" xfId="14732" xr:uid="{A33391B1-8C3C-470F-B007-44F51A68E46D}"/>
    <cellStyle name="Comma 4 5 2 5 3 3" xfId="23172" xr:uid="{2440C9F6-A2CE-4906-974E-A95187A062AA}"/>
    <cellStyle name="Comma 4 5 2 5 4" xfId="10514" xr:uid="{169DD0D2-5C4F-4FBF-BED2-4C8CF523112B}"/>
    <cellStyle name="Comma 4 5 2 5 5" xfId="18955" xr:uid="{2EBC1049-9D93-4FD0-B746-3E517AE2B9DC}"/>
    <cellStyle name="Comma 4 5 2 6" xfId="2411" xr:uid="{00000000-0005-0000-0000-0000380A0000}"/>
    <cellStyle name="Comma 4 5 2 6 2" xfId="6695" xr:uid="{00000000-0005-0000-0000-0000390A0000}"/>
    <cellStyle name="Comma 4 5 2 6 2 2" xfId="15145" xr:uid="{2824815C-432D-49E8-9D73-F488AF89A6C9}"/>
    <cellStyle name="Comma 4 5 2 6 2 3" xfId="23585" xr:uid="{D26639E7-255C-4A0C-BE9C-8496C489F313}"/>
    <cellStyle name="Comma 4 5 2 6 3" xfId="10927" xr:uid="{A6658D06-7F92-4252-A17F-FD2F88696D4D}"/>
    <cellStyle name="Comma 4 5 2 6 4" xfId="19368" xr:uid="{F327C5D5-1174-46F4-A800-5CB18191422B}"/>
    <cellStyle name="Comma 4 5 2 7" xfId="2707" xr:uid="{00000000-0005-0000-0000-00003A0A0000}"/>
    <cellStyle name="Comma 4 5 2 8" xfId="2789" xr:uid="{00000000-0005-0000-0000-00003B0A0000}"/>
    <cellStyle name="Comma 4 5 2 8 2" xfId="7012" xr:uid="{00000000-0005-0000-0000-00003C0A0000}"/>
    <cellStyle name="Comma 4 5 2 8 2 2" xfId="15462" xr:uid="{020E99D2-5C42-43E6-AC29-23CBB1FD098B}"/>
    <cellStyle name="Comma 4 5 2 8 2 3" xfId="23902" xr:uid="{8A8560D3-06C1-4303-9AC1-910C0D12EAD3}"/>
    <cellStyle name="Comma 4 5 2 8 3" xfId="11244" xr:uid="{07674984-DEE5-4891-B0A8-35F82EB43D55}"/>
    <cellStyle name="Comma 4 5 2 8 4" xfId="19685" xr:uid="{97161E97-ED08-4AC7-85DA-A1980AAE06FA}"/>
    <cellStyle name="Comma 4 5 2 9" xfId="4629" xr:uid="{00000000-0005-0000-0000-00003D0A0000}"/>
    <cellStyle name="Comma 4 5 2 9 2" xfId="13079" xr:uid="{2A17F6E9-8295-4A17-A649-FB213AA2CE2E}"/>
    <cellStyle name="Comma 4 5 2 9 3" xfId="21519" xr:uid="{94A1B27D-EE51-4641-BCCA-9FC5C0014043}"/>
    <cellStyle name="Comma 4 5 3" xfId="694" xr:uid="{00000000-0005-0000-0000-00003E0A0000}"/>
    <cellStyle name="Comma 4 5 3 2" xfId="2965" xr:uid="{00000000-0005-0000-0000-00003F0A0000}"/>
    <cellStyle name="Comma 4 5 3 2 2" xfId="7187" xr:uid="{00000000-0005-0000-0000-0000400A0000}"/>
    <cellStyle name="Comma 4 5 3 2 2 2" xfId="15637" xr:uid="{B5B8A21C-21C3-4E80-8DD8-AEEA00FD3ECA}"/>
    <cellStyle name="Comma 4 5 3 2 2 3" xfId="24077" xr:uid="{148DC3CC-C7F5-4C03-AFA5-0B4D0B888260}"/>
    <cellStyle name="Comma 4 5 3 2 3" xfId="11419" xr:uid="{E29BBF7E-AEC4-4F62-AB4A-21B198A06228}"/>
    <cellStyle name="Comma 4 5 3 2 4" xfId="19860" xr:uid="{930589BA-E3E7-4195-98C2-84770142AD7E}"/>
    <cellStyle name="Comma 4 5 3 3" xfId="5042" xr:uid="{00000000-0005-0000-0000-0000410A0000}"/>
    <cellStyle name="Comma 4 5 3 3 2" xfId="13492" xr:uid="{7AECACE5-8C04-429A-9735-82BA343FDA12}"/>
    <cellStyle name="Comma 4 5 3 3 3" xfId="21932" xr:uid="{44550824-E09E-466D-A416-1BF6FB6A5BB3}"/>
    <cellStyle name="Comma 4 5 3 4" xfId="9274" xr:uid="{A48645FA-462A-4103-81D9-8516BDE23B2C}"/>
    <cellStyle name="Comma 4 5 3 5" xfId="17715" xr:uid="{0A9412B6-BE32-4B08-8360-035458130D0D}"/>
    <cellStyle name="Comma 4 5 4" xfId="1147" xr:uid="{00000000-0005-0000-0000-0000420A0000}"/>
    <cellStyle name="Comma 4 5 4 2" xfId="3378" xr:uid="{00000000-0005-0000-0000-0000430A0000}"/>
    <cellStyle name="Comma 4 5 4 2 2" xfId="7600" xr:uid="{00000000-0005-0000-0000-0000440A0000}"/>
    <cellStyle name="Comma 4 5 4 2 2 2" xfId="16050" xr:uid="{8018DC5A-4038-454D-B780-92B035182371}"/>
    <cellStyle name="Comma 4 5 4 2 2 3" xfId="24490" xr:uid="{50C3ACDE-9E43-41BF-9F15-8CF755FC1750}"/>
    <cellStyle name="Comma 4 5 4 2 3" xfId="11832" xr:uid="{6DEFFA1E-EBC7-4180-951F-2C8447E4CAC2}"/>
    <cellStyle name="Comma 4 5 4 2 4" xfId="20273" xr:uid="{70A633F0-EB52-479B-8028-1292B2A35A10}"/>
    <cellStyle name="Comma 4 5 4 3" xfId="5455" xr:uid="{00000000-0005-0000-0000-0000450A0000}"/>
    <cellStyle name="Comma 4 5 4 3 2" xfId="13905" xr:uid="{AE078ACD-A3C3-4136-A8CD-ADF8053D0F0A}"/>
    <cellStyle name="Comma 4 5 4 3 3" xfId="22345" xr:uid="{D675B937-C5AA-4A6D-8CBC-17778D797172}"/>
    <cellStyle name="Comma 4 5 4 4" xfId="9687" xr:uid="{083A999B-A3D6-4C0B-BE80-4ED011690379}"/>
    <cellStyle name="Comma 4 5 4 5" xfId="18128" xr:uid="{72F44C38-4FAD-4C2B-95A8-60DE4016D1B2}"/>
    <cellStyle name="Comma 4 5 5" xfId="1561" xr:uid="{00000000-0005-0000-0000-0000460A0000}"/>
    <cellStyle name="Comma 4 5 5 2" xfId="3791" xr:uid="{00000000-0005-0000-0000-0000470A0000}"/>
    <cellStyle name="Comma 4 5 5 2 2" xfId="8013" xr:uid="{00000000-0005-0000-0000-0000480A0000}"/>
    <cellStyle name="Comma 4 5 5 2 2 2" xfId="16463" xr:uid="{4EFE1F31-292C-4101-B529-9550BA8C9707}"/>
    <cellStyle name="Comma 4 5 5 2 2 3" xfId="24903" xr:uid="{EE933996-B3DB-4149-8CF4-32F8E4383C28}"/>
    <cellStyle name="Comma 4 5 5 2 3" xfId="12245" xr:uid="{32B56764-040E-4B4E-8C0F-9412DFEED5E9}"/>
    <cellStyle name="Comma 4 5 5 2 4" xfId="20686" xr:uid="{EA877A81-9CB3-4FCA-87AE-527EFB27015F}"/>
    <cellStyle name="Comma 4 5 5 3" xfId="5868" xr:uid="{00000000-0005-0000-0000-0000490A0000}"/>
    <cellStyle name="Comma 4 5 5 3 2" xfId="14318" xr:uid="{076EABE4-3D6F-490A-8690-016AE1FADC9E}"/>
    <cellStyle name="Comma 4 5 5 3 3" xfId="22758" xr:uid="{8B3449C0-D269-41CB-9BFC-1D4948951161}"/>
    <cellStyle name="Comma 4 5 5 4" xfId="10100" xr:uid="{3B0A6B0F-1942-47DC-ACC0-C2F69488DA78}"/>
    <cellStyle name="Comma 4 5 5 5" xfId="18541" xr:uid="{37E1A827-4D50-44DD-87DE-C0209ECA77C1}"/>
    <cellStyle name="Comma 4 5 6" xfId="1975" xr:uid="{00000000-0005-0000-0000-00004A0A0000}"/>
    <cellStyle name="Comma 4 5 6 2" xfId="4204" xr:uid="{00000000-0005-0000-0000-00004B0A0000}"/>
    <cellStyle name="Comma 4 5 6 2 2" xfId="8426" xr:uid="{00000000-0005-0000-0000-00004C0A0000}"/>
    <cellStyle name="Comma 4 5 6 2 2 2" xfId="16876" xr:uid="{749D285A-0232-4CDC-8657-F79302FEE918}"/>
    <cellStyle name="Comma 4 5 6 2 2 3" xfId="25316" xr:uid="{B34C04F8-5BF6-491A-9737-94BED73E9915}"/>
    <cellStyle name="Comma 4 5 6 2 3" xfId="12658" xr:uid="{76B220EC-C7FE-4DA4-A1E2-4B76D01B1A65}"/>
    <cellStyle name="Comma 4 5 6 2 4" xfId="21099" xr:uid="{99C10FF9-4718-44BD-8094-AB8DE07AF1BB}"/>
    <cellStyle name="Comma 4 5 6 3" xfId="6281" xr:uid="{00000000-0005-0000-0000-00004D0A0000}"/>
    <cellStyle name="Comma 4 5 6 3 2" xfId="14731" xr:uid="{468A19FF-84BD-485C-AA2B-4BB72A48EC84}"/>
    <cellStyle name="Comma 4 5 6 3 3" xfId="23171" xr:uid="{2AED385F-7E2C-4351-8F19-7E7FACC7AD08}"/>
    <cellStyle name="Comma 4 5 6 4" xfId="10513" xr:uid="{50EE86A3-60C4-41C4-9FD1-F9A1F3F26D15}"/>
    <cellStyle name="Comma 4 5 6 5" xfId="18954" xr:uid="{5A7BB782-0586-4E00-B022-E9261DBA2FEC}"/>
    <cellStyle name="Comma 4 5 7" xfId="2410" xr:uid="{00000000-0005-0000-0000-00004E0A0000}"/>
    <cellStyle name="Comma 4 5 7 2" xfId="6694" xr:uid="{00000000-0005-0000-0000-00004F0A0000}"/>
    <cellStyle name="Comma 4 5 7 2 2" xfId="15144" xr:uid="{69F413C0-0197-41AA-984C-BA7B5F8A04DE}"/>
    <cellStyle name="Comma 4 5 7 2 3" xfId="23584" xr:uid="{D8A25303-535C-42BC-B2C3-88FC0FB42861}"/>
    <cellStyle name="Comma 4 5 7 3" xfId="10926" xr:uid="{6DB25949-FA22-4BB6-88AC-DA12EC05BACB}"/>
    <cellStyle name="Comma 4 5 7 4" xfId="19367" xr:uid="{281ABACC-CDBD-4B96-9C23-0BFD686C9D07}"/>
    <cellStyle name="Comma 4 5 8" xfId="2706" xr:uid="{00000000-0005-0000-0000-0000500A0000}"/>
    <cellStyle name="Comma 4 5 9" xfId="2788" xr:uid="{00000000-0005-0000-0000-0000510A0000}"/>
    <cellStyle name="Comma 4 5 9 2" xfId="7011" xr:uid="{00000000-0005-0000-0000-0000520A0000}"/>
    <cellStyle name="Comma 4 5 9 2 2" xfId="15461" xr:uid="{B561B9D0-2F83-4119-A466-1F2FA38140ED}"/>
    <cellStyle name="Comma 4 5 9 2 3" xfId="23901" xr:uid="{2098AC89-4A4F-4F4D-BE61-0108879EBDCB}"/>
    <cellStyle name="Comma 4 5 9 3" xfId="11243" xr:uid="{8EBD21A4-38DE-4C33-A305-1451DD9DA2FF}"/>
    <cellStyle name="Comma 4 5 9 4" xfId="19684" xr:uid="{C556D96A-A201-4682-A249-DE5DFAAD0A38}"/>
    <cellStyle name="Comma 4 6" xfId="159" xr:uid="{00000000-0005-0000-0000-0000530A0000}"/>
    <cellStyle name="Comma 4 6 10" xfId="8862" xr:uid="{D5103909-8927-42FD-9654-6BD394938463}"/>
    <cellStyle name="Comma 4 6 11" xfId="17303" xr:uid="{B12DAA4E-EABE-4E0E-BA87-7D1FA77692F7}"/>
    <cellStyle name="Comma 4 6 2" xfId="696" xr:uid="{00000000-0005-0000-0000-0000540A0000}"/>
    <cellStyle name="Comma 4 6 2 2" xfId="2967" xr:uid="{00000000-0005-0000-0000-0000550A0000}"/>
    <cellStyle name="Comma 4 6 2 2 2" xfId="7189" xr:uid="{00000000-0005-0000-0000-0000560A0000}"/>
    <cellStyle name="Comma 4 6 2 2 2 2" xfId="15639" xr:uid="{E599F9BF-C295-470B-B0A5-71C5F2C07686}"/>
    <cellStyle name="Comma 4 6 2 2 2 3" xfId="24079" xr:uid="{80EC4CB4-0F58-4B33-93C8-65A02D76D014}"/>
    <cellStyle name="Comma 4 6 2 2 3" xfId="11421" xr:uid="{0BCA030D-3C2E-4DA4-AA5D-256D11D4E814}"/>
    <cellStyle name="Comma 4 6 2 2 4" xfId="19862" xr:uid="{A7864E47-5B51-4501-8550-67292733EFF9}"/>
    <cellStyle name="Comma 4 6 2 3" xfId="5044" xr:uid="{00000000-0005-0000-0000-0000570A0000}"/>
    <cellStyle name="Comma 4 6 2 3 2" xfId="13494" xr:uid="{21A098BB-BE57-447B-A5C8-44B19AC0C091}"/>
    <cellStyle name="Comma 4 6 2 3 3" xfId="21934" xr:uid="{9DAC0E6F-9717-4716-9DAF-16BC6A4EF019}"/>
    <cellStyle name="Comma 4 6 2 4" xfId="9276" xr:uid="{A98ECDE0-0DBB-4BF5-A0CA-24C7541137A6}"/>
    <cellStyle name="Comma 4 6 2 5" xfId="17717" xr:uid="{B1D55BB0-0F37-4905-9B01-F30C7DAAC376}"/>
    <cellStyle name="Comma 4 6 3" xfId="1149" xr:uid="{00000000-0005-0000-0000-0000580A0000}"/>
    <cellStyle name="Comma 4 6 3 2" xfId="3380" xr:uid="{00000000-0005-0000-0000-0000590A0000}"/>
    <cellStyle name="Comma 4 6 3 2 2" xfId="7602" xr:uid="{00000000-0005-0000-0000-00005A0A0000}"/>
    <cellStyle name="Comma 4 6 3 2 2 2" xfId="16052" xr:uid="{EC45F27B-75C3-498B-8A3A-840ED21B3DD7}"/>
    <cellStyle name="Comma 4 6 3 2 2 3" xfId="24492" xr:uid="{959D7FDC-FC48-479B-8F79-34D863AACB12}"/>
    <cellStyle name="Comma 4 6 3 2 3" xfId="11834" xr:uid="{CB6B91F4-9D31-4CD4-9CA7-31BD5C8D3180}"/>
    <cellStyle name="Comma 4 6 3 2 4" xfId="20275" xr:uid="{26E6DDA7-A9DE-4E12-9D7F-6C9C660534B3}"/>
    <cellStyle name="Comma 4 6 3 3" xfId="5457" xr:uid="{00000000-0005-0000-0000-00005B0A0000}"/>
    <cellStyle name="Comma 4 6 3 3 2" xfId="13907" xr:uid="{87752B98-FF8D-4E32-814A-FDA563B51CF0}"/>
    <cellStyle name="Comma 4 6 3 3 3" xfId="22347" xr:uid="{F8BD4A97-77AA-42D3-806A-5FE3D93F6EB3}"/>
    <cellStyle name="Comma 4 6 3 4" xfId="9689" xr:uid="{6295492F-8295-4458-A2BB-CDF141C39E0B}"/>
    <cellStyle name="Comma 4 6 3 5" xfId="18130" xr:uid="{4B6603F8-EC12-418D-9C71-AA88910FED28}"/>
    <cellStyle name="Comma 4 6 4" xfId="1563" xr:uid="{00000000-0005-0000-0000-00005C0A0000}"/>
    <cellStyle name="Comma 4 6 4 2" xfId="3793" xr:uid="{00000000-0005-0000-0000-00005D0A0000}"/>
    <cellStyle name="Comma 4 6 4 2 2" xfId="8015" xr:uid="{00000000-0005-0000-0000-00005E0A0000}"/>
    <cellStyle name="Comma 4 6 4 2 2 2" xfId="16465" xr:uid="{44EDAFED-6AF7-41C8-8531-6B96ACDEFC82}"/>
    <cellStyle name="Comma 4 6 4 2 2 3" xfId="24905" xr:uid="{B7DFB01E-E54D-4DA7-9AFB-4D767FCCC9DB}"/>
    <cellStyle name="Comma 4 6 4 2 3" xfId="12247" xr:uid="{4F1103E6-EA07-4236-A20D-A2E951319919}"/>
    <cellStyle name="Comma 4 6 4 2 4" xfId="20688" xr:uid="{88D6AF61-2EB0-43F3-A9D9-E85282A336DE}"/>
    <cellStyle name="Comma 4 6 4 3" xfId="5870" xr:uid="{00000000-0005-0000-0000-00005F0A0000}"/>
    <cellStyle name="Comma 4 6 4 3 2" xfId="14320" xr:uid="{547E8186-7647-4EB9-87C9-C19B8A616840}"/>
    <cellStyle name="Comma 4 6 4 3 3" xfId="22760" xr:uid="{85E85AAB-F2E4-4298-8075-1A4F25F577A6}"/>
    <cellStyle name="Comma 4 6 4 4" xfId="10102" xr:uid="{559D1AA5-B352-40AD-B713-1013B66B3971}"/>
    <cellStyle name="Comma 4 6 4 5" xfId="18543" xr:uid="{B141182B-56F1-4D14-902B-99EED3DF7F07}"/>
    <cellStyle name="Comma 4 6 5" xfId="1977" xr:uid="{00000000-0005-0000-0000-0000600A0000}"/>
    <cellStyle name="Comma 4 6 5 2" xfId="4206" xr:uid="{00000000-0005-0000-0000-0000610A0000}"/>
    <cellStyle name="Comma 4 6 5 2 2" xfId="8428" xr:uid="{00000000-0005-0000-0000-0000620A0000}"/>
    <cellStyle name="Comma 4 6 5 2 2 2" xfId="16878" xr:uid="{2C1DB2A7-C7E2-46F0-952D-FA907F18E149}"/>
    <cellStyle name="Comma 4 6 5 2 2 3" xfId="25318" xr:uid="{97DC3A91-8D0A-446C-B6EA-927CDA1DEC20}"/>
    <cellStyle name="Comma 4 6 5 2 3" xfId="12660" xr:uid="{35F03821-597F-4046-99BA-1193673A4EEF}"/>
    <cellStyle name="Comma 4 6 5 2 4" xfId="21101" xr:uid="{CA0B72E8-086F-495D-9900-32BCEDA19304}"/>
    <cellStyle name="Comma 4 6 5 3" xfId="6283" xr:uid="{00000000-0005-0000-0000-0000630A0000}"/>
    <cellStyle name="Comma 4 6 5 3 2" xfId="14733" xr:uid="{4D5C21B3-D61F-4AB2-9858-C7464E9DC1FD}"/>
    <cellStyle name="Comma 4 6 5 3 3" xfId="23173" xr:uid="{C7103BFD-35B4-4ADE-9CAD-724D1C758885}"/>
    <cellStyle name="Comma 4 6 5 4" xfId="10515" xr:uid="{11B50297-239A-4702-94EA-EE049B730106}"/>
    <cellStyle name="Comma 4 6 5 5" xfId="18956" xr:uid="{59F06EC1-53ED-42A2-8F07-B0BE4B5FE048}"/>
    <cellStyle name="Comma 4 6 6" xfId="2412" xr:uid="{00000000-0005-0000-0000-0000640A0000}"/>
    <cellStyle name="Comma 4 6 6 2" xfId="6696" xr:uid="{00000000-0005-0000-0000-0000650A0000}"/>
    <cellStyle name="Comma 4 6 6 2 2" xfId="15146" xr:uid="{B6C26D86-E363-4616-8484-5BE21434CFC9}"/>
    <cellStyle name="Comma 4 6 6 2 3" xfId="23586" xr:uid="{C6608075-BACF-4B89-B176-F63EB3B2E66A}"/>
    <cellStyle name="Comma 4 6 6 3" xfId="10928" xr:uid="{50D952DE-C1C8-468B-B57E-F5116D8E9F1C}"/>
    <cellStyle name="Comma 4 6 6 4" xfId="19369" xr:uid="{8BE26886-607F-485A-824D-D751427A8128}"/>
    <cellStyle name="Comma 4 6 7" xfId="2708" xr:uid="{00000000-0005-0000-0000-0000660A0000}"/>
    <cellStyle name="Comma 4 6 8" xfId="2790" xr:uid="{00000000-0005-0000-0000-0000670A0000}"/>
    <cellStyle name="Comma 4 6 8 2" xfId="7013" xr:uid="{00000000-0005-0000-0000-0000680A0000}"/>
    <cellStyle name="Comma 4 6 8 2 2" xfId="15463" xr:uid="{FDDA4FFC-AE3A-408F-A4B4-40595359389F}"/>
    <cellStyle name="Comma 4 6 8 2 3" xfId="23903" xr:uid="{131EDF0C-7580-4E67-9A12-35A58576382C}"/>
    <cellStyle name="Comma 4 6 8 3" xfId="11245" xr:uid="{1CA9635C-D590-44D4-9D4D-9E56FCBAA1D4}"/>
    <cellStyle name="Comma 4 6 8 4" xfId="19686" xr:uid="{B777417F-EE7E-4285-8F8F-6973B1588D24}"/>
    <cellStyle name="Comma 4 6 9" xfId="4630" xr:uid="{00000000-0005-0000-0000-0000690A0000}"/>
    <cellStyle name="Comma 4 6 9 2" xfId="13080" xr:uid="{806CD3EA-8345-4935-93CC-D0947123B3A3}"/>
    <cellStyle name="Comma 4 6 9 3" xfId="21520" xr:uid="{BDACEE5E-A97E-4A37-8150-6D0F49FB4FCA}"/>
    <cellStyle name="Comma 4 7" xfId="160" xr:uid="{00000000-0005-0000-0000-00006A0A0000}"/>
    <cellStyle name="Comma 4 7 10" xfId="8863" xr:uid="{F7070456-FC30-496D-B107-5669F99EAFCA}"/>
    <cellStyle name="Comma 4 7 11" xfId="17304" xr:uid="{1E606B48-8EE9-423C-A397-E6CA6C38A7BE}"/>
    <cellStyle name="Comma 4 7 2" xfId="697" xr:uid="{00000000-0005-0000-0000-00006B0A0000}"/>
    <cellStyle name="Comma 4 7 2 2" xfId="2968" xr:uid="{00000000-0005-0000-0000-00006C0A0000}"/>
    <cellStyle name="Comma 4 7 2 2 2" xfId="7190" xr:uid="{00000000-0005-0000-0000-00006D0A0000}"/>
    <cellStyle name="Comma 4 7 2 2 2 2" xfId="15640" xr:uid="{A1645920-1933-4E0A-A22B-68FEE5AF3F19}"/>
    <cellStyle name="Comma 4 7 2 2 2 3" xfId="24080" xr:uid="{FF1271FC-C855-48AD-BD1A-0306DA36D72C}"/>
    <cellStyle name="Comma 4 7 2 2 3" xfId="11422" xr:uid="{3F47CA56-2487-43AB-91BC-6C7BCB90FAB0}"/>
    <cellStyle name="Comma 4 7 2 2 4" xfId="19863" xr:uid="{F0722727-EB55-4EC5-BC61-7577FB328B8A}"/>
    <cellStyle name="Comma 4 7 2 3" xfId="5045" xr:uid="{00000000-0005-0000-0000-00006E0A0000}"/>
    <cellStyle name="Comma 4 7 2 3 2" xfId="13495" xr:uid="{2F0A60A6-38B7-4098-996E-5018031FFBC9}"/>
    <cellStyle name="Comma 4 7 2 3 3" xfId="21935" xr:uid="{70C32E21-2D81-406A-AAAE-1909BA1C6F69}"/>
    <cellStyle name="Comma 4 7 2 4" xfId="9277" xr:uid="{A593ED10-5D36-4E98-ACE8-C2DFC034645C}"/>
    <cellStyle name="Comma 4 7 2 5" xfId="17718" xr:uid="{4D57FC3F-593A-4A6A-AACA-8269139DF7D7}"/>
    <cellStyle name="Comma 4 7 3" xfId="1150" xr:uid="{00000000-0005-0000-0000-00006F0A0000}"/>
    <cellStyle name="Comma 4 7 3 2" xfId="3381" xr:uid="{00000000-0005-0000-0000-0000700A0000}"/>
    <cellStyle name="Comma 4 7 3 2 2" xfId="7603" xr:uid="{00000000-0005-0000-0000-0000710A0000}"/>
    <cellStyle name="Comma 4 7 3 2 2 2" xfId="16053" xr:uid="{E9E1BF72-C4D4-4887-8F3A-7063BF7C20DF}"/>
    <cellStyle name="Comma 4 7 3 2 2 3" xfId="24493" xr:uid="{422667B0-7876-419A-827A-0B09BF255C05}"/>
    <cellStyle name="Comma 4 7 3 2 3" xfId="11835" xr:uid="{BEE652CC-05FF-412C-8644-D347CD07E1A9}"/>
    <cellStyle name="Comma 4 7 3 2 4" xfId="20276" xr:uid="{9D43C725-99F0-4C8A-8B2A-6DEE44C03AED}"/>
    <cellStyle name="Comma 4 7 3 3" xfId="5458" xr:uid="{00000000-0005-0000-0000-0000720A0000}"/>
    <cellStyle name="Comma 4 7 3 3 2" xfId="13908" xr:uid="{5BD8E0F7-F7F2-4153-A7BB-5931CAD7EDE7}"/>
    <cellStyle name="Comma 4 7 3 3 3" xfId="22348" xr:uid="{6EB42C99-F108-4E96-82D5-DE4F130D96F8}"/>
    <cellStyle name="Comma 4 7 3 4" xfId="9690" xr:uid="{FA021F2E-E306-4915-A049-8055E1D3D38A}"/>
    <cellStyle name="Comma 4 7 3 5" xfId="18131" xr:uid="{0775772B-F1AE-4E3E-B32C-2B3672E3E5AF}"/>
    <cellStyle name="Comma 4 7 4" xfId="1564" xr:uid="{00000000-0005-0000-0000-0000730A0000}"/>
    <cellStyle name="Comma 4 7 4 2" xfId="3794" xr:uid="{00000000-0005-0000-0000-0000740A0000}"/>
    <cellStyle name="Comma 4 7 4 2 2" xfId="8016" xr:uid="{00000000-0005-0000-0000-0000750A0000}"/>
    <cellStyle name="Comma 4 7 4 2 2 2" xfId="16466" xr:uid="{E4C7146F-689A-48C2-AA7C-08E8857717B2}"/>
    <cellStyle name="Comma 4 7 4 2 2 3" xfId="24906" xr:uid="{6734C00C-CC1B-4CED-8F07-7FD38F5222E6}"/>
    <cellStyle name="Comma 4 7 4 2 3" xfId="12248" xr:uid="{0377B0AE-8E90-486C-84DF-A6D666A84520}"/>
    <cellStyle name="Comma 4 7 4 2 4" xfId="20689" xr:uid="{2031AE55-41F9-4B51-9775-90B1139C63DA}"/>
    <cellStyle name="Comma 4 7 4 3" xfId="5871" xr:uid="{00000000-0005-0000-0000-0000760A0000}"/>
    <cellStyle name="Comma 4 7 4 3 2" xfId="14321" xr:uid="{7F75875C-5E61-4D82-9560-3A693D83D9D4}"/>
    <cellStyle name="Comma 4 7 4 3 3" xfId="22761" xr:uid="{A3AA7236-3567-486A-AD24-54837EF2401D}"/>
    <cellStyle name="Comma 4 7 4 4" xfId="10103" xr:uid="{D06111B4-77C9-4FD1-A23C-2362BFE9F6E1}"/>
    <cellStyle name="Comma 4 7 4 5" xfId="18544" xr:uid="{615DD1C9-445A-4C1E-8FB1-A93D4B010473}"/>
    <cellStyle name="Comma 4 7 5" xfId="1978" xr:uid="{00000000-0005-0000-0000-0000770A0000}"/>
    <cellStyle name="Comma 4 7 5 2" xfId="4207" xr:uid="{00000000-0005-0000-0000-0000780A0000}"/>
    <cellStyle name="Comma 4 7 5 2 2" xfId="8429" xr:uid="{00000000-0005-0000-0000-0000790A0000}"/>
    <cellStyle name="Comma 4 7 5 2 2 2" xfId="16879" xr:uid="{0BF06B53-7DB0-492D-AC8B-978C0F697DFA}"/>
    <cellStyle name="Comma 4 7 5 2 2 3" xfId="25319" xr:uid="{7C40948E-1F1A-47C8-B77E-93B3325BA5A6}"/>
    <cellStyle name="Comma 4 7 5 2 3" xfId="12661" xr:uid="{8B9B70EC-8297-47F9-8760-F204E853ED15}"/>
    <cellStyle name="Comma 4 7 5 2 4" xfId="21102" xr:uid="{D101367D-3B47-40DF-BD19-E9D0A1A7D127}"/>
    <cellStyle name="Comma 4 7 5 3" xfId="6284" xr:uid="{00000000-0005-0000-0000-00007A0A0000}"/>
    <cellStyle name="Comma 4 7 5 3 2" xfId="14734" xr:uid="{F8802A99-6484-4C92-8FFC-56A79E09517D}"/>
    <cellStyle name="Comma 4 7 5 3 3" xfId="23174" xr:uid="{8B180A3D-9C7F-4881-B1E7-7043BEE53D9D}"/>
    <cellStyle name="Comma 4 7 5 4" xfId="10516" xr:uid="{8F4FE4CB-A7A2-4D5B-8F8C-651F597CFDDF}"/>
    <cellStyle name="Comma 4 7 5 5" xfId="18957" xr:uid="{9887EACA-21A7-4F7B-BD8F-79378F2D279B}"/>
    <cellStyle name="Comma 4 7 6" xfId="2413" xr:uid="{00000000-0005-0000-0000-00007B0A0000}"/>
    <cellStyle name="Comma 4 7 6 2" xfId="6697" xr:uid="{00000000-0005-0000-0000-00007C0A0000}"/>
    <cellStyle name="Comma 4 7 6 2 2" xfId="15147" xr:uid="{1E39ABD3-C0F9-4FD7-9C16-5331A3485821}"/>
    <cellStyle name="Comma 4 7 6 2 3" xfId="23587" xr:uid="{C1632E96-5347-4F10-BBB4-F50B4EAE115F}"/>
    <cellStyle name="Comma 4 7 6 3" xfId="10929" xr:uid="{1DF8008A-C645-4CF3-B254-553C4DBFB6CB}"/>
    <cellStyle name="Comma 4 7 6 4" xfId="19370" xr:uid="{A9CB5978-8BD3-46A9-AF53-750F32CC5BBA}"/>
    <cellStyle name="Comma 4 7 7" xfId="2709" xr:uid="{00000000-0005-0000-0000-00007D0A0000}"/>
    <cellStyle name="Comma 4 7 8" xfId="2791" xr:uid="{00000000-0005-0000-0000-00007E0A0000}"/>
    <cellStyle name="Comma 4 7 8 2" xfId="7014" xr:uid="{00000000-0005-0000-0000-00007F0A0000}"/>
    <cellStyle name="Comma 4 7 8 2 2" xfId="15464" xr:uid="{8596CABA-EA49-464C-A1AA-26FCD6CC49F6}"/>
    <cellStyle name="Comma 4 7 8 2 3" xfId="23904" xr:uid="{988CCF41-A672-496D-8A73-8B53B4096838}"/>
    <cellStyle name="Comma 4 7 8 3" xfId="11246" xr:uid="{131B794B-CD96-49C3-ACB2-23B326423C0E}"/>
    <cellStyle name="Comma 4 7 8 4" xfId="19687" xr:uid="{CF4D0FCA-9637-48EB-8774-68F6350460C1}"/>
    <cellStyle name="Comma 4 7 9" xfId="4631" xr:uid="{00000000-0005-0000-0000-0000800A0000}"/>
    <cellStyle name="Comma 4 7 9 2" xfId="13081" xr:uid="{FAC02F7A-51BC-4ED8-A232-D50A2D47B920}"/>
    <cellStyle name="Comma 4 7 9 3" xfId="21521" xr:uid="{2D891F53-601E-41BC-8B30-622DA0F00E0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F69772EB-E187-4B3C-985A-C30488F02CF4}"/>
    <cellStyle name="Comma 7 3" xfId="21389" xr:uid="{2D55C7C5-93F8-459A-911F-D8220BE2746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09B9E5D4-C11A-464B-B6BD-5C5716AB27BD}"/>
    <cellStyle name="Currency 14 2 3" xfId="25606" xr:uid="{14479D67-B429-41B1-BB1C-5C3BA7B34B78}"/>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1E4E6FD6-86B7-4F41-85F1-26A463139DAD}"/>
    <cellStyle name="Currency 14 3 2 2 4" xfId="25615" xr:uid="{2D3DAADF-C479-4A93-A3C7-0675488CFC6E}"/>
    <cellStyle name="Currency 14 3 2 3" xfId="17172" xr:uid="{C07DA3E3-D7D3-4119-A8EC-516B3DC2640B}"/>
    <cellStyle name="Currency 14 3 2 4" xfId="25612" xr:uid="{BAC793CD-2CB9-4B43-AD35-4A4365680614}"/>
    <cellStyle name="Currency 14 3 3" xfId="17169" xr:uid="{EA7B9449-AFA6-4C0C-8A91-244C3DE9AF42}"/>
    <cellStyle name="Currency 14 3 4" xfId="25609" xr:uid="{703D30F1-FDF3-46DC-AE4A-8F5AC28D8C27}"/>
    <cellStyle name="Currency 14 4" xfId="12952" xr:uid="{6E816D85-6EDC-4F31-B1DD-6BABEB4F9D46}"/>
    <cellStyle name="Currency 14 5" xfId="21392" xr:uid="{69BBC5CB-68DD-4FE5-8741-AC0512DD921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DD5848FE-3BF7-4455-B37C-1EF04A846A16}"/>
    <cellStyle name="Currency 3 2 2 10 2 3" xfId="23905" xr:uid="{CA036C16-04A8-40E5-8DFF-2D33B5587CC7}"/>
    <cellStyle name="Currency 3 2 2 10 3" xfId="11247" xr:uid="{F395BC6D-CDB9-4CBE-A5BE-BBCB347E840A}"/>
    <cellStyle name="Currency 3 2 2 10 4" xfId="19688" xr:uid="{EBE97BFA-C89C-4288-A6C5-B95C1596AC4F}"/>
    <cellStyle name="Currency 3 2 2 11" xfId="4632" xr:uid="{00000000-0005-0000-0000-0000A50A0000}"/>
    <cellStyle name="Currency 3 2 2 11 2" xfId="13082" xr:uid="{E1851C03-64F5-4701-B6A8-F157ED42D3C9}"/>
    <cellStyle name="Currency 3 2 2 11 3" xfId="21522" xr:uid="{F8A2CED6-AF6B-4B58-9EB1-EB369138189F}"/>
    <cellStyle name="Currency 3 2 2 12" xfId="8864" xr:uid="{18614EA4-9CE2-4878-A5A1-BB2D3D9C6AEF}"/>
    <cellStyle name="Currency 3 2 2 13" xfId="17305" xr:uid="{9C81A776-6C4E-460E-837A-3A7F26048BAA}"/>
    <cellStyle name="Currency 3 2 2 2" xfId="179" xr:uid="{00000000-0005-0000-0000-0000A60A0000}"/>
    <cellStyle name="Currency 3 2 2 2 10" xfId="4633" xr:uid="{00000000-0005-0000-0000-0000A70A0000}"/>
    <cellStyle name="Currency 3 2 2 2 10 2" xfId="13083" xr:uid="{C7B14853-8513-4D2E-B6CE-5F640B943CC0}"/>
    <cellStyle name="Currency 3 2 2 2 10 3" xfId="21523" xr:uid="{E92EA4B7-CDCE-40F3-8BFB-15525DBD356E}"/>
    <cellStyle name="Currency 3 2 2 2 11" xfId="8865" xr:uid="{58C50DFF-D1EA-4A0C-A5E4-093FEBF09533}"/>
    <cellStyle name="Currency 3 2 2 2 12" xfId="17306" xr:uid="{18B0BAB0-B7F9-4C9A-9DBB-6FA14437753D}"/>
    <cellStyle name="Currency 3 2 2 2 2" xfId="180" xr:uid="{00000000-0005-0000-0000-0000A80A0000}"/>
    <cellStyle name="Currency 3 2 2 2 2 10" xfId="8866" xr:uid="{96A1C513-793A-42BF-86F4-38DD2EEFAA74}"/>
    <cellStyle name="Currency 3 2 2 2 2 11" xfId="17307" xr:uid="{4CD68539-562E-4C37-BD59-A70F5EC1583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150D4812-7309-48F5-9A01-7700267CFB4D}"/>
    <cellStyle name="Currency 3 2 2 2 2 2 2 2 3" xfId="24083" xr:uid="{29031902-0A7E-40CF-A53E-0CA08C6B3B89}"/>
    <cellStyle name="Currency 3 2 2 2 2 2 2 3" xfId="11425" xr:uid="{55AF9711-6307-4935-A04D-5AD6CCDE291A}"/>
    <cellStyle name="Currency 3 2 2 2 2 2 2 4" xfId="19866" xr:uid="{7A69AC10-BA6E-466B-B7A0-5CEDE09077A4}"/>
    <cellStyle name="Currency 3 2 2 2 2 2 3" xfId="5048" xr:uid="{00000000-0005-0000-0000-0000AC0A0000}"/>
    <cellStyle name="Currency 3 2 2 2 2 2 3 2" xfId="13498" xr:uid="{BE661811-0E78-4315-826A-3A6810540C3B}"/>
    <cellStyle name="Currency 3 2 2 2 2 2 3 3" xfId="21938" xr:uid="{EC40069C-5C51-4092-848C-E3AE14A2B5D8}"/>
    <cellStyle name="Currency 3 2 2 2 2 2 4" xfId="9280" xr:uid="{2D7D65CF-3802-48F0-8E28-F137F11B8C38}"/>
    <cellStyle name="Currency 3 2 2 2 2 2 5" xfId="17721" xr:uid="{F0EAC231-7BDF-4086-B352-F0E26E1F8C65}"/>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6D38B0C1-C311-43CB-AB10-11E5900D7786}"/>
    <cellStyle name="Currency 3 2 2 2 2 3 2 2 3" xfId="24496" xr:uid="{4CABE751-E627-4DED-B534-5F391F396DB3}"/>
    <cellStyle name="Currency 3 2 2 2 2 3 2 3" xfId="11838" xr:uid="{7225E7CB-60C8-467B-A7B5-0B110E06AF4E}"/>
    <cellStyle name="Currency 3 2 2 2 2 3 2 4" xfId="20279" xr:uid="{5A85B442-3302-4236-9D39-7366138D84E9}"/>
    <cellStyle name="Currency 3 2 2 2 2 3 3" xfId="5461" xr:uid="{00000000-0005-0000-0000-0000B00A0000}"/>
    <cellStyle name="Currency 3 2 2 2 2 3 3 2" xfId="13911" xr:uid="{AB71CB9D-2A56-453E-8D9E-6D68E6DCEB7C}"/>
    <cellStyle name="Currency 3 2 2 2 2 3 3 3" xfId="22351" xr:uid="{8BC13AF3-F627-4BEB-BF8F-9BE27C8248A3}"/>
    <cellStyle name="Currency 3 2 2 2 2 3 4" xfId="9693" xr:uid="{BC3A43A1-B45D-4FE3-A476-DA95981547B4}"/>
    <cellStyle name="Currency 3 2 2 2 2 3 5" xfId="18134" xr:uid="{D3F5C5AF-1FC8-4A7E-85B1-34C7FB4BEFD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63E527E1-67C3-4C2F-A270-42E1FEFCD945}"/>
    <cellStyle name="Currency 3 2 2 2 2 4 2 2 3" xfId="24909" xr:uid="{856DE58E-4BE9-41D9-B1E5-E6B03EFF03F6}"/>
    <cellStyle name="Currency 3 2 2 2 2 4 2 3" xfId="12251" xr:uid="{DF76941C-5187-4DA3-8D23-24CA550A9298}"/>
    <cellStyle name="Currency 3 2 2 2 2 4 2 4" xfId="20692" xr:uid="{3C9E7C2F-D900-4E07-A915-01946BA125E7}"/>
    <cellStyle name="Currency 3 2 2 2 2 4 3" xfId="5874" xr:uid="{00000000-0005-0000-0000-0000B40A0000}"/>
    <cellStyle name="Currency 3 2 2 2 2 4 3 2" xfId="14324" xr:uid="{016CACD2-88E6-49D6-A316-C941AE97E4E7}"/>
    <cellStyle name="Currency 3 2 2 2 2 4 3 3" xfId="22764" xr:uid="{BA902BEF-A49B-4948-BF20-BC75680E66A4}"/>
    <cellStyle name="Currency 3 2 2 2 2 4 4" xfId="10106" xr:uid="{53898125-BFD2-4713-A23C-53B46FB66F77}"/>
    <cellStyle name="Currency 3 2 2 2 2 4 5" xfId="18547" xr:uid="{A55217D7-CC91-46B8-AA02-475434423CA5}"/>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04204030-341B-4CBA-9F04-F9AADEFDC6CA}"/>
    <cellStyle name="Currency 3 2 2 2 2 5 2 2 3" xfId="25322" xr:uid="{D5A6B6EC-4C2C-40ED-BDEB-0B9298896BE5}"/>
    <cellStyle name="Currency 3 2 2 2 2 5 2 3" xfId="12664" xr:uid="{A4C5B779-71CE-4E9F-8354-0D4FD8BAB089}"/>
    <cellStyle name="Currency 3 2 2 2 2 5 2 4" xfId="21105" xr:uid="{A6D7FBFC-A078-42F2-949E-8CFA401063E3}"/>
    <cellStyle name="Currency 3 2 2 2 2 5 3" xfId="6287" xr:uid="{00000000-0005-0000-0000-0000B80A0000}"/>
    <cellStyle name="Currency 3 2 2 2 2 5 3 2" xfId="14737" xr:uid="{9F4B31CA-C325-487E-A671-6415E59C3BF2}"/>
    <cellStyle name="Currency 3 2 2 2 2 5 3 3" xfId="23177" xr:uid="{827C77ED-8F7D-4A7B-AE39-462915832CCC}"/>
    <cellStyle name="Currency 3 2 2 2 2 5 4" xfId="10519" xr:uid="{C88812FB-ACC9-4F99-8254-94A423D77D5A}"/>
    <cellStyle name="Currency 3 2 2 2 2 5 5" xfId="18960" xr:uid="{483EAB2D-265F-4E9C-BE9B-B0BDD432E56B}"/>
    <cellStyle name="Currency 3 2 2 2 2 6" xfId="2416" xr:uid="{00000000-0005-0000-0000-0000B90A0000}"/>
    <cellStyle name="Currency 3 2 2 2 2 6 2" xfId="6700" xr:uid="{00000000-0005-0000-0000-0000BA0A0000}"/>
    <cellStyle name="Currency 3 2 2 2 2 6 2 2" xfId="15150" xr:uid="{6B479264-8B9B-4B57-A81D-10F216D8D14F}"/>
    <cellStyle name="Currency 3 2 2 2 2 6 2 3" xfId="23590" xr:uid="{4DBE487A-BD08-4E9B-8537-EE7E3D848605}"/>
    <cellStyle name="Currency 3 2 2 2 2 6 3" xfId="10932" xr:uid="{ED757623-93DF-414C-8568-B35CE53AEC94}"/>
    <cellStyle name="Currency 3 2 2 2 2 6 4" xfId="19373" xr:uid="{787417C6-74C3-43ED-9EE8-DB0259B07D1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6E13968A-CCBA-4C17-99A4-1A2EDAC8BC22}"/>
    <cellStyle name="Currency 3 2 2 2 2 8 2 3" xfId="23907" xr:uid="{77A01BF0-31B1-4D4A-BAFB-9795BF278DF8}"/>
    <cellStyle name="Currency 3 2 2 2 2 8 3" xfId="11249" xr:uid="{ECE41992-7F38-423E-A9CD-CDA46FD57E99}"/>
    <cellStyle name="Currency 3 2 2 2 2 8 4" xfId="19690" xr:uid="{17AFBA69-B80F-46E3-805F-05A17DFDC03F}"/>
    <cellStyle name="Currency 3 2 2 2 2 9" xfId="4634" xr:uid="{00000000-0005-0000-0000-0000BE0A0000}"/>
    <cellStyle name="Currency 3 2 2 2 2 9 2" xfId="13084" xr:uid="{DD759DAB-7819-4D89-8C43-BD93E3C53A72}"/>
    <cellStyle name="Currency 3 2 2 2 2 9 3" xfId="21524" xr:uid="{A5B5A2C3-EC08-415D-A425-C9D34AFA056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CAAC48D8-C524-4B1B-8F98-AD09B9CEFF8D}"/>
    <cellStyle name="Currency 3 2 2 2 3 2 2 3" xfId="24082" xr:uid="{61DD5ECA-8A90-45FD-B238-6CA0DF06589D}"/>
    <cellStyle name="Currency 3 2 2 2 3 2 3" xfId="11424" xr:uid="{51B44D3A-0E2C-48D7-8227-8CDAC98F7B8C}"/>
    <cellStyle name="Currency 3 2 2 2 3 2 4" xfId="19865" xr:uid="{BBFB73BB-A666-4E4C-BE39-B73A0954CC5E}"/>
    <cellStyle name="Currency 3 2 2 2 3 3" xfId="5047" xr:uid="{00000000-0005-0000-0000-0000C20A0000}"/>
    <cellStyle name="Currency 3 2 2 2 3 3 2" xfId="13497" xr:uid="{A3609670-8FAE-4B95-90DB-E3FB01FD353D}"/>
    <cellStyle name="Currency 3 2 2 2 3 3 3" xfId="21937" xr:uid="{E00DD425-6FA7-46BD-BFE2-D1FA351258BA}"/>
    <cellStyle name="Currency 3 2 2 2 3 4" xfId="9279" xr:uid="{E4FF9A25-E7A4-4B3F-B029-74CD730490E4}"/>
    <cellStyle name="Currency 3 2 2 2 3 5" xfId="17720" xr:uid="{34789151-A12E-495D-AEB1-298080A28E82}"/>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443AD3B4-9754-4468-AFF7-432F0E1DA0F4}"/>
    <cellStyle name="Currency 3 2 2 2 4 2 2 3" xfId="24495" xr:uid="{0005F322-F22C-4388-BDA9-9836FD609535}"/>
    <cellStyle name="Currency 3 2 2 2 4 2 3" xfId="11837" xr:uid="{A5238DE8-7DBF-481D-86EC-31317C82321D}"/>
    <cellStyle name="Currency 3 2 2 2 4 2 4" xfId="20278" xr:uid="{882E59B0-697A-4596-B797-2CE17D0C605C}"/>
    <cellStyle name="Currency 3 2 2 2 4 3" xfId="5460" xr:uid="{00000000-0005-0000-0000-0000C60A0000}"/>
    <cellStyle name="Currency 3 2 2 2 4 3 2" xfId="13910" xr:uid="{5119AB74-C715-4851-A37D-22E85734C3D8}"/>
    <cellStyle name="Currency 3 2 2 2 4 3 3" xfId="22350" xr:uid="{D5ED828C-CCAE-4B66-8839-C59262D1E295}"/>
    <cellStyle name="Currency 3 2 2 2 4 4" xfId="9692" xr:uid="{A5CD7D1D-AB2F-4243-979E-809236DF5CF2}"/>
    <cellStyle name="Currency 3 2 2 2 4 5" xfId="18133" xr:uid="{ECE8DE3A-08FC-48DF-AD1D-E1A1F02023C3}"/>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C0362ADF-683D-4BBD-B2A3-C670ECA83CB4}"/>
    <cellStyle name="Currency 3 2 2 2 5 2 2 3" xfId="24908" xr:uid="{B8C45B71-BAFE-4D2A-8E16-A0D4D9BD5CF3}"/>
    <cellStyle name="Currency 3 2 2 2 5 2 3" xfId="12250" xr:uid="{A35C3496-B59B-47A8-9A81-2CB8A3C215C4}"/>
    <cellStyle name="Currency 3 2 2 2 5 2 4" xfId="20691" xr:uid="{A6F70508-4400-40DD-BC75-C66D3E90E566}"/>
    <cellStyle name="Currency 3 2 2 2 5 3" xfId="5873" xr:uid="{00000000-0005-0000-0000-0000CA0A0000}"/>
    <cellStyle name="Currency 3 2 2 2 5 3 2" xfId="14323" xr:uid="{36E9E745-0BB1-49FC-80ED-4B7D487EA044}"/>
    <cellStyle name="Currency 3 2 2 2 5 3 3" xfId="22763" xr:uid="{52EF4D16-8907-4061-9D9E-AE8300B7EB3E}"/>
    <cellStyle name="Currency 3 2 2 2 5 4" xfId="10105" xr:uid="{2CD9F07A-CF62-44BD-ADD2-9012FAAA42A1}"/>
    <cellStyle name="Currency 3 2 2 2 5 5" xfId="18546" xr:uid="{AED53C7C-6463-4B29-86D1-B069405FAE4A}"/>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5ADD3294-7E80-4BC0-8C97-21EE1094445C}"/>
    <cellStyle name="Currency 3 2 2 2 6 2 2 3" xfId="25321" xr:uid="{4BACAA2B-6DFB-40BF-AE16-B1A9D614514D}"/>
    <cellStyle name="Currency 3 2 2 2 6 2 3" xfId="12663" xr:uid="{643810E4-C912-4BE1-A11C-CDAD3D775082}"/>
    <cellStyle name="Currency 3 2 2 2 6 2 4" xfId="21104" xr:uid="{0711994E-409B-4C67-88B4-99B741E9ACCC}"/>
    <cellStyle name="Currency 3 2 2 2 6 3" xfId="6286" xr:uid="{00000000-0005-0000-0000-0000CE0A0000}"/>
    <cellStyle name="Currency 3 2 2 2 6 3 2" xfId="14736" xr:uid="{38270E6C-C569-4775-9AC7-5D43D2AFC72E}"/>
    <cellStyle name="Currency 3 2 2 2 6 3 3" xfId="23176" xr:uid="{B44E10A7-E3B2-4BEF-A5FE-D93780AAEFE4}"/>
    <cellStyle name="Currency 3 2 2 2 6 4" xfId="10518" xr:uid="{DD764F36-B7E5-490A-99D3-F13C1D38B2A5}"/>
    <cellStyle name="Currency 3 2 2 2 6 5" xfId="18959" xr:uid="{D93E15BA-5165-48A7-8FC9-B477782DA84F}"/>
    <cellStyle name="Currency 3 2 2 2 7" xfId="2415" xr:uid="{00000000-0005-0000-0000-0000CF0A0000}"/>
    <cellStyle name="Currency 3 2 2 2 7 2" xfId="6699" xr:uid="{00000000-0005-0000-0000-0000D00A0000}"/>
    <cellStyle name="Currency 3 2 2 2 7 2 2" xfId="15149" xr:uid="{60F2A39F-295A-41D4-90D3-4667D55BC863}"/>
    <cellStyle name="Currency 3 2 2 2 7 2 3" xfId="23589" xr:uid="{A7B1FBB8-DA9F-493B-9204-426DC3C14C7B}"/>
    <cellStyle name="Currency 3 2 2 2 7 3" xfId="10931" xr:uid="{07EC16A1-81A7-4B4E-BDDB-FF785C868822}"/>
    <cellStyle name="Currency 3 2 2 2 7 4" xfId="19372" xr:uid="{80AE96D6-E684-464C-92FD-6D938CEBEA93}"/>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7D52DED3-6395-4E25-A0CF-F870FDEFC6B9}"/>
    <cellStyle name="Currency 3 2 2 2 9 2 3" xfId="23906" xr:uid="{AE7640D5-FBCB-4CD9-9697-50549EF2E42F}"/>
    <cellStyle name="Currency 3 2 2 2 9 3" xfId="11248" xr:uid="{2EFA68AA-F8D2-40E0-A994-FF2543E404C3}"/>
    <cellStyle name="Currency 3 2 2 2 9 4" xfId="19689" xr:uid="{D80BCCED-98E6-45A2-A1A5-82878160C31A}"/>
    <cellStyle name="Currency 3 2 2 3" xfId="181" xr:uid="{00000000-0005-0000-0000-0000D40A0000}"/>
    <cellStyle name="Currency 3 2 2 3 10" xfId="8867" xr:uid="{5507DC57-5D77-4A2D-8F00-FBB0FBEC13B8}"/>
    <cellStyle name="Currency 3 2 2 3 11" xfId="17308" xr:uid="{115FCDA7-74F0-4D8D-9761-6ED738685A5D}"/>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5757C483-2B8E-46E2-86B4-2672BE236E1A}"/>
    <cellStyle name="Currency 3 2 2 3 2 2 2 3" xfId="24084" xr:uid="{11959353-BA40-4ADF-95EF-29111F7657E4}"/>
    <cellStyle name="Currency 3 2 2 3 2 2 3" xfId="11426" xr:uid="{F06798A4-EA3A-452A-AB8D-82162FC83420}"/>
    <cellStyle name="Currency 3 2 2 3 2 2 4" xfId="19867" xr:uid="{092A8C61-C94B-4193-82AA-84967B5A6C2C}"/>
    <cellStyle name="Currency 3 2 2 3 2 3" xfId="5049" xr:uid="{00000000-0005-0000-0000-0000D80A0000}"/>
    <cellStyle name="Currency 3 2 2 3 2 3 2" xfId="13499" xr:uid="{CD4A729B-0E74-4936-A0E4-8D1224024366}"/>
    <cellStyle name="Currency 3 2 2 3 2 3 3" xfId="21939" xr:uid="{7DD98D34-667B-4CD1-898F-2E1BF47B89C4}"/>
    <cellStyle name="Currency 3 2 2 3 2 4" xfId="9281" xr:uid="{B66266A3-CC24-4249-8BA9-30ED0EFE82C3}"/>
    <cellStyle name="Currency 3 2 2 3 2 5" xfId="17722" xr:uid="{4BF1C2A4-466F-4E98-A6D4-EBCD8B1C6711}"/>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247C7ADE-7843-4410-97C4-EFEB1FCA8C32}"/>
    <cellStyle name="Currency 3 2 2 3 3 2 2 3" xfId="24497" xr:uid="{A88945E7-C83B-46BF-8CF5-2A5B8070897A}"/>
    <cellStyle name="Currency 3 2 2 3 3 2 3" xfId="11839" xr:uid="{49A351BA-C878-458A-9F4B-912FFC1B4ED8}"/>
    <cellStyle name="Currency 3 2 2 3 3 2 4" xfId="20280" xr:uid="{E29B7AE6-1319-433A-A63B-C742CF920E66}"/>
    <cellStyle name="Currency 3 2 2 3 3 3" xfId="5462" xr:uid="{00000000-0005-0000-0000-0000DC0A0000}"/>
    <cellStyle name="Currency 3 2 2 3 3 3 2" xfId="13912" xr:uid="{5C54E94D-61CF-462D-AA14-F64B10E3A180}"/>
    <cellStyle name="Currency 3 2 2 3 3 3 3" xfId="22352" xr:uid="{82A69E66-5279-476D-8E5F-225184DF4298}"/>
    <cellStyle name="Currency 3 2 2 3 3 4" xfId="9694" xr:uid="{1E6B4ABE-4041-4D20-808C-48AD658DF91A}"/>
    <cellStyle name="Currency 3 2 2 3 3 5" xfId="18135" xr:uid="{805F66DE-FFFA-40E1-86DE-E5E1602A24FF}"/>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D1432565-0E61-49CA-B923-9DF1F5712502}"/>
    <cellStyle name="Currency 3 2 2 3 4 2 2 3" xfId="24910" xr:uid="{377B22B9-450A-454F-8B0C-AAE427EB0A82}"/>
    <cellStyle name="Currency 3 2 2 3 4 2 3" xfId="12252" xr:uid="{1017EAEA-3D71-41B2-8DC8-908EC38C6FA5}"/>
    <cellStyle name="Currency 3 2 2 3 4 2 4" xfId="20693" xr:uid="{38E86AFD-7EE8-447B-BB1C-C9A55B15F63C}"/>
    <cellStyle name="Currency 3 2 2 3 4 3" xfId="5875" xr:uid="{00000000-0005-0000-0000-0000E00A0000}"/>
    <cellStyle name="Currency 3 2 2 3 4 3 2" xfId="14325" xr:uid="{6D8A98DA-F899-42FD-AA60-9808094F0B15}"/>
    <cellStyle name="Currency 3 2 2 3 4 3 3" xfId="22765" xr:uid="{916BB9F3-FECF-4BEC-8E78-54BACCA1CE9F}"/>
    <cellStyle name="Currency 3 2 2 3 4 4" xfId="10107" xr:uid="{A7D7B15B-C235-4701-BB53-FDE68C181219}"/>
    <cellStyle name="Currency 3 2 2 3 4 5" xfId="18548" xr:uid="{C87EAD28-B4B4-4198-BBDF-1F3CCBCB195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AF0F39BC-B645-42BB-AA2F-4633C5993F61}"/>
    <cellStyle name="Currency 3 2 2 3 5 2 2 3" xfId="25323" xr:uid="{8ED647EB-182C-4620-B764-2EBF8915DBD5}"/>
    <cellStyle name="Currency 3 2 2 3 5 2 3" xfId="12665" xr:uid="{27FBBB9B-1329-4E89-9939-C43075FAF69D}"/>
    <cellStyle name="Currency 3 2 2 3 5 2 4" xfId="21106" xr:uid="{38C3FE6F-DA29-4E86-95E8-F6684931A77C}"/>
    <cellStyle name="Currency 3 2 2 3 5 3" xfId="6288" xr:uid="{00000000-0005-0000-0000-0000E40A0000}"/>
    <cellStyle name="Currency 3 2 2 3 5 3 2" xfId="14738" xr:uid="{0F4DB549-82A5-4A72-BCE2-0CE4D19D22E4}"/>
    <cellStyle name="Currency 3 2 2 3 5 3 3" xfId="23178" xr:uid="{542F58DF-37F2-41B7-9E2B-D6C4F374153D}"/>
    <cellStyle name="Currency 3 2 2 3 5 4" xfId="10520" xr:uid="{F2DBDAAB-056C-4F3B-AF73-3C1A79BAC088}"/>
    <cellStyle name="Currency 3 2 2 3 5 5" xfId="18961" xr:uid="{8BED11C6-54EE-49B3-AAF0-F1ED20911C60}"/>
    <cellStyle name="Currency 3 2 2 3 6" xfId="2417" xr:uid="{00000000-0005-0000-0000-0000E50A0000}"/>
    <cellStyle name="Currency 3 2 2 3 6 2" xfId="6701" xr:uid="{00000000-0005-0000-0000-0000E60A0000}"/>
    <cellStyle name="Currency 3 2 2 3 6 2 2" xfId="15151" xr:uid="{BD6E7025-B108-4D52-BF57-B0EB189C3CB6}"/>
    <cellStyle name="Currency 3 2 2 3 6 2 3" xfId="23591" xr:uid="{73DCCDC4-3930-4560-90D0-043D3E83ED9A}"/>
    <cellStyle name="Currency 3 2 2 3 6 3" xfId="10933" xr:uid="{311D6969-23D0-4748-99A5-CCB3951EECD1}"/>
    <cellStyle name="Currency 3 2 2 3 6 4" xfId="19374" xr:uid="{D27ADB70-AB93-4AB7-8596-3605885DF153}"/>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37BE06B9-D5D2-4EC5-81B5-759DA66827E9}"/>
    <cellStyle name="Currency 3 2 2 3 8 2 3" xfId="23908" xr:uid="{716C6E0E-8156-4615-BFF6-4499E952F283}"/>
    <cellStyle name="Currency 3 2 2 3 8 3" xfId="11250" xr:uid="{0A668200-D72C-4A02-B92C-10694E80B778}"/>
    <cellStyle name="Currency 3 2 2 3 8 4" xfId="19691" xr:uid="{770C8C62-9D43-42E5-9611-EAB70F4DFEE1}"/>
    <cellStyle name="Currency 3 2 2 3 9" xfId="4635" xr:uid="{00000000-0005-0000-0000-0000EA0A0000}"/>
    <cellStyle name="Currency 3 2 2 3 9 2" xfId="13085" xr:uid="{71FA738B-171F-47B8-8923-9A5C70FDBA74}"/>
    <cellStyle name="Currency 3 2 2 3 9 3" xfId="21525" xr:uid="{595491EA-BBAF-4CAA-86DD-2F0F670DB489}"/>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C91544ED-07CF-426E-97F3-EAA8009F9709}"/>
    <cellStyle name="Currency 3 2 2 4 2 2 3" xfId="24081" xr:uid="{75DEEA36-D566-4337-9E8F-8E0CFB21579D}"/>
    <cellStyle name="Currency 3 2 2 4 2 3" xfId="11423" xr:uid="{280E4A02-5F50-4EC5-9780-91944D2031A6}"/>
    <cellStyle name="Currency 3 2 2 4 2 4" xfId="19864" xr:uid="{BE28C4B1-31E2-43C8-9D07-473A8373545B}"/>
    <cellStyle name="Currency 3 2 2 4 3" xfId="5046" xr:uid="{00000000-0005-0000-0000-0000EE0A0000}"/>
    <cellStyle name="Currency 3 2 2 4 3 2" xfId="13496" xr:uid="{8C8F0799-CF95-463D-BF8D-3077453AF686}"/>
    <cellStyle name="Currency 3 2 2 4 3 3" xfId="21936" xr:uid="{49CD0ECF-8AEA-4C10-81DD-B1F82DC0D561}"/>
    <cellStyle name="Currency 3 2 2 4 4" xfId="9278" xr:uid="{FE93C847-2239-4E0D-89CE-4CF1EDC184E8}"/>
    <cellStyle name="Currency 3 2 2 4 5" xfId="17719" xr:uid="{630EADA9-7FAD-40C8-A6CD-3811E1ACE17B}"/>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5CFB9A55-09E8-4163-B925-387EA5AF6690}"/>
    <cellStyle name="Currency 3 2 2 5 2 2 3" xfId="24494" xr:uid="{0A361BEC-183E-41FB-A054-F9A586997E3E}"/>
    <cellStyle name="Currency 3 2 2 5 2 3" xfId="11836" xr:uid="{8330DE88-2607-416A-B4BE-4DA532CB37DC}"/>
    <cellStyle name="Currency 3 2 2 5 2 4" xfId="20277" xr:uid="{DE22139D-D557-4A7D-8CBA-D6AC0B18D38B}"/>
    <cellStyle name="Currency 3 2 2 5 3" xfId="5459" xr:uid="{00000000-0005-0000-0000-0000F20A0000}"/>
    <cellStyle name="Currency 3 2 2 5 3 2" xfId="13909" xr:uid="{E4669C5C-A081-4D9B-B39E-592BB90C2723}"/>
    <cellStyle name="Currency 3 2 2 5 3 3" xfId="22349" xr:uid="{9BDE9C60-DC59-4FF6-A3C1-3EB3562CEFA2}"/>
    <cellStyle name="Currency 3 2 2 5 4" xfId="9691" xr:uid="{306E0AE9-7759-44E3-AC05-22A5E4D25485}"/>
    <cellStyle name="Currency 3 2 2 5 5" xfId="18132" xr:uid="{21E5663B-DF5D-4A78-B0AA-3904AFABF00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8DCF9556-7D13-47F6-A8D5-E4286EB85D65}"/>
    <cellStyle name="Currency 3 2 2 6 2 2 3" xfId="24907" xr:uid="{AFED9645-507B-4539-B4D6-7B94E75D396B}"/>
    <cellStyle name="Currency 3 2 2 6 2 3" xfId="12249" xr:uid="{B9F0A54E-9819-489B-B336-85AA819A31B3}"/>
    <cellStyle name="Currency 3 2 2 6 2 4" xfId="20690" xr:uid="{A003E9BC-F7AC-4EFD-85BD-5797BE983AE6}"/>
    <cellStyle name="Currency 3 2 2 6 3" xfId="5872" xr:uid="{00000000-0005-0000-0000-0000F60A0000}"/>
    <cellStyle name="Currency 3 2 2 6 3 2" xfId="14322" xr:uid="{DE7BB427-5D85-45AF-B0E5-8FFD748815C8}"/>
    <cellStyle name="Currency 3 2 2 6 3 3" xfId="22762" xr:uid="{8318E612-6A9E-4E2F-868E-8B1D08F1D178}"/>
    <cellStyle name="Currency 3 2 2 6 4" xfId="10104" xr:uid="{8050B94F-EB29-426B-8B82-586A1B713BC9}"/>
    <cellStyle name="Currency 3 2 2 6 5" xfId="18545" xr:uid="{56610449-C3D6-48DA-802D-90DF26FF542C}"/>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5640CB91-E6A0-4F65-9F94-E8C1E9B83411}"/>
    <cellStyle name="Currency 3 2 2 7 2 2 3" xfId="25320" xr:uid="{38454853-4BD9-4DC0-B234-1DFC413C34BB}"/>
    <cellStyle name="Currency 3 2 2 7 2 3" xfId="12662" xr:uid="{6218B853-0F7C-4135-8629-66E1CACCED14}"/>
    <cellStyle name="Currency 3 2 2 7 2 4" xfId="21103" xr:uid="{E7D7D74A-06AA-4695-A2BC-F06E3525F687}"/>
    <cellStyle name="Currency 3 2 2 7 3" xfId="6285" xr:uid="{00000000-0005-0000-0000-0000FA0A0000}"/>
    <cellStyle name="Currency 3 2 2 7 3 2" xfId="14735" xr:uid="{1458CE78-DB49-4509-8ACF-1F4D634AD206}"/>
    <cellStyle name="Currency 3 2 2 7 3 3" xfId="23175" xr:uid="{298F96CA-5C5F-4997-8AC4-7198F3FC5A2F}"/>
    <cellStyle name="Currency 3 2 2 7 4" xfId="10517" xr:uid="{67B382B3-37E9-4AD8-95C4-80BCFF5B930F}"/>
    <cellStyle name="Currency 3 2 2 7 5" xfId="18958" xr:uid="{5CA458F7-067D-4D46-8A0A-CC2D7FF4F6F4}"/>
    <cellStyle name="Currency 3 2 2 8" xfId="2414" xr:uid="{00000000-0005-0000-0000-0000FB0A0000}"/>
    <cellStyle name="Currency 3 2 2 8 2" xfId="6698" xr:uid="{00000000-0005-0000-0000-0000FC0A0000}"/>
    <cellStyle name="Currency 3 2 2 8 2 2" xfId="15148" xr:uid="{25C72DE0-E086-4728-9A91-08E3CF313417}"/>
    <cellStyle name="Currency 3 2 2 8 2 3" xfId="23588" xr:uid="{0C081E8E-EA15-41AA-B99C-26D42BBA2D32}"/>
    <cellStyle name="Currency 3 2 2 8 3" xfId="10930" xr:uid="{7BEDDF31-53A9-451F-8ED2-EE4A7492E113}"/>
    <cellStyle name="Currency 3 2 2 8 4" xfId="19371" xr:uid="{FDB3ECA7-6640-423E-960A-5B7444B948B3}"/>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1122337B-9F1A-487E-ACB6-A5C294E755C6}"/>
    <cellStyle name="Currency 3 2 3 10 3" xfId="21526" xr:uid="{10F44656-B036-410E-A2D6-4BE4853224CD}"/>
    <cellStyle name="Currency 3 2 3 11" xfId="8868" xr:uid="{46E36876-D247-44F7-9CD2-6737E758FE5E}"/>
    <cellStyle name="Currency 3 2 3 12" xfId="17309" xr:uid="{3F9766AD-B109-4EF9-A318-51F305A1E319}"/>
    <cellStyle name="Currency 3 2 3 2" xfId="183" xr:uid="{00000000-0005-0000-0000-0000000B0000}"/>
    <cellStyle name="Currency 3 2 3 2 10" xfId="8869" xr:uid="{AC0B8FD3-9226-42AE-90A7-3441167CA35F}"/>
    <cellStyle name="Currency 3 2 3 2 11" xfId="17310" xr:uid="{56076C53-4A72-4A5C-9A69-95D3E5222419}"/>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81312323-F235-4C26-8383-AFEEBB0ACCC9}"/>
    <cellStyle name="Currency 3 2 3 2 2 2 2 3" xfId="24086" xr:uid="{C60679E6-1CFF-461F-916A-CF4794E1696B}"/>
    <cellStyle name="Currency 3 2 3 2 2 2 3" xfId="11428" xr:uid="{5951665D-4519-4663-95DF-FCF73A2A476C}"/>
    <cellStyle name="Currency 3 2 3 2 2 2 4" xfId="19869" xr:uid="{6D4D5EB8-66F5-4181-97F9-5D4868F4389F}"/>
    <cellStyle name="Currency 3 2 3 2 2 3" xfId="5051" xr:uid="{00000000-0005-0000-0000-0000040B0000}"/>
    <cellStyle name="Currency 3 2 3 2 2 3 2" xfId="13501" xr:uid="{336A646A-CCFF-41E6-A405-EA1B7EBDECE9}"/>
    <cellStyle name="Currency 3 2 3 2 2 3 3" xfId="21941" xr:uid="{0CA0985D-51A2-407C-8B4F-412A5C58EAF7}"/>
    <cellStyle name="Currency 3 2 3 2 2 4" xfId="9283" xr:uid="{5F61506A-1F92-42B2-93B2-B9CE6FB5B079}"/>
    <cellStyle name="Currency 3 2 3 2 2 5" xfId="17724" xr:uid="{FC91A69E-22DB-4C70-83B9-ED4C353BF2F8}"/>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79BC3C1A-56F6-4AA2-91B8-891579DA1CBA}"/>
    <cellStyle name="Currency 3 2 3 2 3 2 2 3" xfId="24499" xr:uid="{A6B4D2B8-2CD1-4B82-A1F4-9DDE4EC0B1D5}"/>
    <cellStyle name="Currency 3 2 3 2 3 2 3" xfId="11841" xr:uid="{8C4FD3C8-E387-49C8-858C-4BF1C7392FA1}"/>
    <cellStyle name="Currency 3 2 3 2 3 2 4" xfId="20282" xr:uid="{4EED3DA5-D445-4C43-90D1-2700EE5B13AA}"/>
    <cellStyle name="Currency 3 2 3 2 3 3" xfId="5464" xr:uid="{00000000-0005-0000-0000-0000080B0000}"/>
    <cellStyle name="Currency 3 2 3 2 3 3 2" xfId="13914" xr:uid="{A6DFE72F-6128-41FC-81D1-2E04BF2FBD8F}"/>
    <cellStyle name="Currency 3 2 3 2 3 3 3" xfId="22354" xr:uid="{1AE0D5B4-621F-4047-9191-7DD2ED8D1224}"/>
    <cellStyle name="Currency 3 2 3 2 3 4" xfId="9696" xr:uid="{D62BF864-6FF7-4889-978C-1CDC773AE757}"/>
    <cellStyle name="Currency 3 2 3 2 3 5" xfId="18137" xr:uid="{748704B1-2C49-471F-A88B-0E6797BCCB8B}"/>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493A1945-C0AE-4F9D-9B48-ADAC7CC044A3}"/>
    <cellStyle name="Currency 3 2 3 2 4 2 2 3" xfId="24912" xr:uid="{238EAF44-8232-492A-A7A5-C9F3C38BE187}"/>
    <cellStyle name="Currency 3 2 3 2 4 2 3" xfId="12254" xr:uid="{EDDB7FD0-5439-43FB-87AF-F4CD78C493C6}"/>
    <cellStyle name="Currency 3 2 3 2 4 2 4" xfId="20695" xr:uid="{7C078F99-BBC7-411B-B364-D18B1A6FC70F}"/>
    <cellStyle name="Currency 3 2 3 2 4 3" xfId="5877" xr:uid="{00000000-0005-0000-0000-00000C0B0000}"/>
    <cellStyle name="Currency 3 2 3 2 4 3 2" xfId="14327" xr:uid="{19AF7A9B-0C29-4809-A451-8C47D0DDD54B}"/>
    <cellStyle name="Currency 3 2 3 2 4 3 3" xfId="22767" xr:uid="{096180F5-37B5-43CF-83F1-CFD829B1816F}"/>
    <cellStyle name="Currency 3 2 3 2 4 4" xfId="10109" xr:uid="{E27C7677-40F4-4B38-A53E-6AA71C7B5146}"/>
    <cellStyle name="Currency 3 2 3 2 4 5" xfId="18550" xr:uid="{9AF726AB-B3B2-498D-BCF6-5CB7A48D4A52}"/>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A73F6A66-A200-4AD7-8045-54F0FD7779A0}"/>
    <cellStyle name="Currency 3 2 3 2 5 2 2 3" xfId="25325" xr:uid="{222A2F4A-1924-4C39-80B7-6A8A7458C73D}"/>
    <cellStyle name="Currency 3 2 3 2 5 2 3" xfId="12667" xr:uid="{E3BF022D-AD01-484F-B872-61596271B0EA}"/>
    <cellStyle name="Currency 3 2 3 2 5 2 4" xfId="21108" xr:uid="{416021C8-9162-40DB-95BF-49B44DBEBA0B}"/>
    <cellStyle name="Currency 3 2 3 2 5 3" xfId="6290" xr:uid="{00000000-0005-0000-0000-0000100B0000}"/>
    <cellStyle name="Currency 3 2 3 2 5 3 2" xfId="14740" xr:uid="{C7C49E4B-F322-45B8-92A6-C29A55F8B296}"/>
    <cellStyle name="Currency 3 2 3 2 5 3 3" xfId="23180" xr:uid="{537F90E1-09B1-4DE2-BD80-49069AC84BB6}"/>
    <cellStyle name="Currency 3 2 3 2 5 4" xfId="10522" xr:uid="{37066B46-B736-423C-B7DB-593A8185813C}"/>
    <cellStyle name="Currency 3 2 3 2 5 5" xfId="18963" xr:uid="{D9535042-8164-4D50-A648-5A75C382864F}"/>
    <cellStyle name="Currency 3 2 3 2 6" xfId="2419" xr:uid="{00000000-0005-0000-0000-0000110B0000}"/>
    <cellStyle name="Currency 3 2 3 2 6 2" xfId="6703" xr:uid="{00000000-0005-0000-0000-0000120B0000}"/>
    <cellStyle name="Currency 3 2 3 2 6 2 2" xfId="15153" xr:uid="{220A80D7-73BD-4ABA-A05F-9C2E5DC2B064}"/>
    <cellStyle name="Currency 3 2 3 2 6 2 3" xfId="23593" xr:uid="{C4A5682A-941F-4D2C-BF2C-9313140208DC}"/>
    <cellStyle name="Currency 3 2 3 2 6 3" xfId="10935" xr:uid="{959D4DCA-8A48-4225-81E4-02A8B20FFBA8}"/>
    <cellStyle name="Currency 3 2 3 2 6 4" xfId="19376" xr:uid="{920DB2AF-CB6A-4D9B-8C21-930CA41578ED}"/>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EB76247E-835B-4ED2-8900-15C6224B5583}"/>
    <cellStyle name="Currency 3 2 3 2 8 2 3" xfId="23910" xr:uid="{99385241-400F-44F9-A93C-C2546DE784B0}"/>
    <cellStyle name="Currency 3 2 3 2 8 3" xfId="11252" xr:uid="{52927016-42ED-42BE-A020-177D28F2D3AA}"/>
    <cellStyle name="Currency 3 2 3 2 8 4" xfId="19693" xr:uid="{68A94505-801A-4767-B412-F8A38203E241}"/>
    <cellStyle name="Currency 3 2 3 2 9" xfId="4637" xr:uid="{00000000-0005-0000-0000-0000160B0000}"/>
    <cellStyle name="Currency 3 2 3 2 9 2" xfId="13087" xr:uid="{B7C90851-6C9D-4439-B33B-12AAECEEA4EE}"/>
    <cellStyle name="Currency 3 2 3 2 9 3" xfId="21527" xr:uid="{5EE2CEFD-563F-498E-8993-FE99ED5FDFD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A35E9E40-5A7D-4A75-80D7-3EA35B6EC063}"/>
    <cellStyle name="Currency 3 2 3 3 2 2 3" xfId="24085" xr:uid="{631BA11A-044E-4403-B77F-2598B6E28A4D}"/>
    <cellStyle name="Currency 3 2 3 3 2 3" xfId="11427" xr:uid="{DB8A36C4-3FA4-4CB6-B515-BA0662D7FF69}"/>
    <cellStyle name="Currency 3 2 3 3 2 4" xfId="19868" xr:uid="{99ADF5A0-CF67-451C-94F6-CD7FC0EB1670}"/>
    <cellStyle name="Currency 3 2 3 3 3" xfId="5050" xr:uid="{00000000-0005-0000-0000-00001A0B0000}"/>
    <cellStyle name="Currency 3 2 3 3 3 2" xfId="13500" xr:uid="{18C1083E-FAA7-48D7-95B9-BE057701A42A}"/>
    <cellStyle name="Currency 3 2 3 3 3 3" xfId="21940" xr:uid="{0C523016-70A8-431B-8E1C-985EAA236B0F}"/>
    <cellStyle name="Currency 3 2 3 3 4" xfId="9282" xr:uid="{B6FFA9B8-EF35-4700-A807-C0AEA93860C7}"/>
    <cellStyle name="Currency 3 2 3 3 5" xfId="17723" xr:uid="{8FF7EB9B-6A42-4DCA-B8BC-9BFEDF78E818}"/>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ED1E48EE-0232-42CD-852E-FC86926C4C9A}"/>
    <cellStyle name="Currency 3 2 3 4 2 2 3" xfId="24498" xr:uid="{7A67D9A1-77EA-4A73-9885-0F1E8F013812}"/>
    <cellStyle name="Currency 3 2 3 4 2 3" xfId="11840" xr:uid="{3A00CA2F-5CB5-4110-A6B1-C202AB052C76}"/>
    <cellStyle name="Currency 3 2 3 4 2 4" xfId="20281" xr:uid="{0E8DFFC5-2071-4346-B717-41F271ABFCC9}"/>
    <cellStyle name="Currency 3 2 3 4 3" xfId="5463" xr:uid="{00000000-0005-0000-0000-00001E0B0000}"/>
    <cellStyle name="Currency 3 2 3 4 3 2" xfId="13913" xr:uid="{F7FBA411-61D4-427A-B671-0F09A728CB20}"/>
    <cellStyle name="Currency 3 2 3 4 3 3" xfId="22353" xr:uid="{B778926A-F6B6-4226-AFF5-68BCCAB4B172}"/>
    <cellStyle name="Currency 3 2 3 4 4" xfId="9695" xr:uid="{7B92F919-8C75-4B58-B6F7-4D18637D1F67}"/>
    <cellStyle name="Currency 3 2 3 4 5" xfId="18136" xr:uid="{F9D4C4D6-20D8-49C3-8616-60CB1E0CD0B8}"/>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ECA7602F-B470-4719-AFAD-4F611D214271}"/>
    <cellStyle name="Currency 3 2 3 5 2 2 3" xfId="24911" xr:uid="{E2B1B594-A32B-4296-BC9C-BAC8CC480CB1}"/>
    <cellStyle name="Currency 3 2 3 5 2 3" xfId="12253" xr:uid="{B27C4658-C711-48EF-AD96-8E1FBB162BAA}"/>
    <cellStyle name="Currency 3 2 3 5 2 4" xfId="20694" xr:uid="{70407181-E3ED-49AE-9C47-EFDE9A7D1D5F}"/>
    <cellStyle name="Currency 3 2 3 5 3" xfId="5876" xr:uid="{00000000-0005-0000-0000-0000220B0000}"/>
    <cellStyle name="Currency 3 2 3 5 3 2" xfId="14326" xr:uid="{C7C19882-598A-475D-B249-6826DF3F2CA3}"/>
    <cellStyle name="Currency 3 2 3 5 3 3" xfId="22766" xr:uid="{33F7F723-B550-4131-AC00-1112A8CD67D6}"/>
    <cellStyle name="Currency 3 2 3 5 4" xfId="10108" xr:uid="{0E4B5B17-BE45-4F3B-8507-2CB3792F79F7}"/>
    <cellStyle name="Currency 3 2 3 5 5" xfId="18549" xr:uid="{58DC96C9-C278-4E93-A69F-3AFFE807A59A}"/>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95613D43-E966-4165-A89A-8C36E2DCED39}"/>
    <cellStyle name="Currency 3 2 3 6 2 2 3" xfId="25324" xr:uid="{1D3FDD99-DF1D-438A-A1EB-B5159B9DCA1F}"/>
    <cellStyle name="Currency 3 2 3 6 2 3" xfId="12666" xr:uid="{D66DB936-E325-453B-A710-189704A6BC6E}"/>
    <cellStyle name="Currency 3 2 3 6 2 4" xfId="21107" xr:uid="{34AA34BD-402A-4F66-9CD6-3707598993CC}"/>
    <cellStyle name="Currency 3 2 3 6 3" xfId="6289" xr:uid="{00000000-0005-0000-0000-0000260B0000}"/>
    <cellStyle name="Currency 3 2 3 6 3 2" xfId="14739" xr:uid="{A6AA330B-8E1F-4DA7-B52E-67FA7358BE07}"/>
    <cellStyle name="Currency 3 2 3 6 3 3" xfId="23179" xr:uid="{F3C35999-D2E5-4497-A45D-2E46C10CA143}"/>
    <cellStyle name="Currency 3 2 3 6 4" xfId="10521" xr:uid="{ABD62E93-F142-462E-8F3C-FDA83245C2A9}"/>
    <cellStyle name="Currency 3 2 3 6 5" xfId="18962" xr:uid="{985FDC58-82B8-425E-82A8-4F2750587397}"/>
    <cellStyle name="Currency 3 2 3 7" xfId="2418" xr:uid="{00000000-0005-0000-0000-0000270B0000}"/>
    <cellStyle name="Currency 3 2 3 7 2" xfId="6702" xr:uid="{00000000-0005-0000-0000-0000280B0000}"/>
    <cellStyle name="Currency 3 2 3 7 2 2" xfId="15152" xr:uid="{F42F5CDD-D606-4358-A580-ADECCEE379D7}"/>
    <cellStyle name="Currency 3 2 3 7 2 3" xfId="23592" xr:uid="{96059192-37F6-4602-B86F-8A9E1EBA8F51}"/>
    <cellStyle name="Currency 3 2 3 7 3" xfId="10934" xr:uid="{D3171F4D-CC20-47A6-8447-CC42A12B7341}"/>
    <cellStyle name="Currency 3 2 3 7 4" xfId="19375" xr:uid="{8EA2A751-94AC-486B-A078-D2A6344BD757}"/>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AFA4ECD4-55B1-4EBD-8FB5-C22E2979576A}"/>
    <cellStyle name="Currency 3 2 3 9 2 3" xfId="23909" xr:uid="{D742AEBA-90AC-42DD-BD27-2B98E71D2449}"/>
    <cellStyle name="Currency 3 2 3 9 3" xfId="11251" xr:uid="{8AA53B78-31A5-4158-9FF3-906A256753CA}"/>
    <cellStyle name="Currency 3 2 3 9 4" xfId="19692" xr:uid="{057C9C8E-DA39-46AF-9023-9EB41CA12E53}"/>
    <cellStyle name="Currency 3 2 4" xfId="184" xr:uid="{00000000-0005-0000-0000-00002C0B0000}"/>
    <cellStyle name="Currency 3 2 4 10" xfId="8870" xr:uid="{DC252977-3BF0-42C7-94BC-91E9E9583361}"/>
    <cellStyle name="Currency 3 2 4 11" xfId="17311" xr:uid="{727A3D20-A6E0-45E0-8A58-688FB5F65AA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D23FFAB9-EA12-4DE4-A345-F84F2CF808C2}"/>
    <cellStyle name="Currency 3 2 4 2 2 2 3" xfId="24087" xr:uid="{219D12FE-DBBB-485E-9362-F874C36234E6}"/>
    <cellStyle name="Currency 3 2 4 2 2 3" xfId="11429" xr:uid="{ED86F94C-5F84-4A0A-AC35-6E456C2511AA}"/>
    <cellStyle name="Currency 3 2 4 2 2 4" xfId="19870" xr:uid="{F80A527D-4DBE-4E22-AD59-18FE76757B02}"/>
    <cellStyle name="Currency 3 2 4 2 3" xfId="5052" xr:uid="{00000000-0005-0000-0000-0000300B0000}"/>
    <cellStyle name="Currency 3 2 4 2 3 2" xfId="13502" xr:uid="{AFE8F4C7-4391-4CED-B666-466BFF47185F}"/>
    <cellStyle name="Currency 3 2 4 2 3 3" xfId="21942" xr:uid="{0154885A-A9B7-4916-A43E-A0FC9650B6E1}"/>
    <cellStyle name="Currency 3 2 4 2 4" xfId="9284" xr:uid="{077336AC-6A92-4329-9CF0-873379EABA39}"/>
    <cellStyle name="Currency 3 2 4 2 5" xfId="17725" xr:uid="{5F94BB03-69F9-4A7B-A630-C567CC653C9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BD2071D9-FB0B-4AC0-B374-353276EC9F68}"/>
    <cellStyle name="Currency 3 2 4 3 2 2 3" xfId="24500" xr:uid="{7C5E1170-0032-47C8-A338-82E320CDF4B5}"/>
    <cellStyle name="Currency 3 2 4 3 2 3" xfId="11842" xr:uid="{DAF983BF-DFD1-4BCE-B377-7C08926E855B}"/>
    <cellStyle name="Currency 3 2 4 3 2 4" xfId="20283" xr:uid="{C44F63ED-E094-45E6-9F2F-3C0DA115E53E}"/>
    <cellStyle name="Currency 3 2 4 3 3" xfId="5465" xr:uid="{00000000-0005-0000-0000-0000340B0000}"/>
    <cellStyle name="Currency 3 2 4 3 3 2" xfId="13915" xr:uid="{D0E2CA57-4EAA-46C0-949F-368AC29C9EE3}"/>
    <cellStyle name="Currency 3 2 4 3 3 3" xfId="22355" xr:uid="{FA682127-1CE4-4110-92B8-B2BA7A44A932}"/>
    <cellStyle name="Currency 3 2 4 3 4" xfId="9697" xr:uid="{DF7B501B-7E85-4CE6-A52C-1D29211CDAD6}"/>
    <cellStyle name="Currency 3 2 4 3 5" xfId="18138" xr:uid="{E1305F3B-3831-4002-9A33-EF079335C0A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4502040-DA7F-46AE-9437-1C1D286FF504}"/>
    <cellStyle name="Currency 3 2 4 4 2 2 3" xfId="24913" xr:uid="{3EE0819D-37B2-471C-8652-BAD91552BFDC}"/>
    <cellStyle name="Currency 3 2 4 4 2 3" xfId="12255" xr:uid="{F1A9D7D7-31CF-491B-BB01-59C1136F89D1}"/>
    <cellStyle name="Currency 3 2 4 4 2 4" xfId="20696" xr:uid="{6D89DC24-9B4A-40E5-8F71-5A0A0A08A230}"/>
    <cellStyle name="Currency 3 2 4 4 3" xfId="5878" xr:uid="{00000000-0005-0000-0000-0000380B0000}"/>
    <cellStyle name="Currency 3 2 4 4 3 2" xfId="14328" xr:uid="{16BDF110-F211-4FE3-ACC9-8B80D76E2057}"/>
    <cellStyle name="Currency 3 2 4 4 3 3" xfId="22768" xr:uid="{569079AA-787C-4C33-9159-9E88A6E0E122}"/>
    <cellStyle name="Currency 3 2 4 4 4" xfId="10110" xr:uid="{6B2B515A-7F3F-4858-9409-A884452D9821}"/>
    <cellStyle name="Currency 3 2 4 4 5" xfId="18551" xr:uid="{75B25358-376D-432B-9366-1E5089054B8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B9B5F51-12D8-4CB4-AA7E-B455314B268F}"/>
    <cellStyle name="Currency 3 2 4 5 2 2 3" xfId="25326" xr:uid="{EC6BB061-D7E0-4FA3-B2EA-DB7FDC9C067D}"/>
    <cellStyle name="Currency 3 2 4 5 2 3" xfId="12668" xr:uid="{1F0D8B80-8AFA-49D4-9524-DFCAD1417081}"/>
    <cellStyle name="Currency 3 2 4 5 2 4" xfId="21109" xr:uid="{B1EFD5A7-6CAA-457D-AD79-0D3818C335A6}"/>
    <cellStyle name="Currency 3 2 4 5 3" xfId="6291" xr:uid="{00000000-0005-0000-0000-00003C0B0000}"/>
    <cellStyle name="Currency 3 2 4 5 3 2" xfId="14741" xr:uid="{F473B113-7C96-4B4E-B267-67E2D57DF522}"/>
    <cellStyle name="Currency 3 2 4 5 3 3" xfId="23181" xr:uid="{B32EECF6-2E7C-4BBF-AAEC-4BB895BEB31A}"/>
    <cellStyle name="Currency 3 2 4 5 4" xfId="10523" xr:uid="{523394CC-9811-4B6F-A861-C807CEB926B1}"/>
    <cellStyle name="Currency 3 2 4 5 5" xfId="18964" xr:uid="{6493D38A-B126-44E3-9627-635C3C324ECC}"/>
    <cellStyle name="Currency 3 2 4 6" xfId="2420" xr:uid="{00000000-0005-0000-0000-00003D0B0000}"/>
    <cellStyle name="Currency 3 2 4 6 2" xfId="6704" xr:uid="{00000000-0005-0000-0000-00003E0B0000}"/>
    <cellStyle name="Currency 3 2 4 6 2 2" xfId="15154" xr:uid="{A3E27079-BA1E-4454-997D-01B76C17364E}"/>
    <cellStyle name="Currency 3 2 4 6 2 3" xfId="23594" xr:uid="{5AA6D2E9-00FB-4FE3-BEB6-ED7447FD0D57}"/>
    <cellStyle name="Currency 3 2 4 6 3" xfId="10936" xr:uid="{3D1A1B1A-494E-4A7A-8F34-DB176E81F26C}"/>
    <cellStyle name="Currency 3 2 4 6 4" xfId="19377" xr:uid="{0B3089EF-394B-41BC-8FB1-63693B0798AD}"/>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25132A2E-D7EE-44B8-8077-47DB66025A61}"/>
    <cellStyle name="Currency 3 2 4 8 2 3" xfId="23911" xr:uid="{E47C68FA-7279-4465-BC89-73B73DFB2DD6}"/>
    <cellStyle name="Currency 3 2 4 8 3" xfId="11253" xr:uid="{B42B972C-A16C-4382-9B01-4148B5EFFE1E}"/>
    <cellStyle name="Currency 3 2 4 8 4" xfId="19694" xr:uid="{83418E8E-31B6-4A70-84C6-057C0F4949E0}"/>
    <cellStyle name="Currency 3 2 4 9" xfId="4638" xr:uid="{00000000-0005-0000-0000-0000420B0000}"/>
    <cellStyle name="Currency 3 2 4 9 2" xfId="13088" xr:uid="{7B8A3B2B-D2D9-4740-A3DA-1CD81C95858B}"/>
    <cellStyle name="Currency 3 2 4 9 3" xfId="21528" xr:uid="{B7A671B8-154C-4418-BD1D-4B237CEF084A}"/>
    <cellStyle name="Currency 3 2 5" xfId="185" xr:uid="{00000000-0005-0000-0000-0000430B0000}"/>
    <cellStyle name="Currency 3 2 5 10" xfId="8871" xr:uid="{3109BDF9-CC92-4A5A-9DAF-362211EF3ACF}"/>
    <cellStyle name="Currency 3 2 5 11" xfId="17312" xr:uid="{7D9FE303-44A8-41B0-A2B4-1F3A601C754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C75AC373-BE75-4A63-B6C4-CA8582BA4B89}"/>
    <cellStyle name="Currency 3 2 5 2 2 2 3" xfId="24088" xr:uid="{6EAFB077-D49B-4C34-909B-FF95147D2791}"/>
    <cellStyle name="Currency 3 2 5 2 2 3" xfId="11430" xr:uid="{F663F6F7-E0A4-4A01-84FE-83743276D093}"/>
    <cellStyle name="Currency 3 2 5 2 2 4" xfId="19871" xr:uid="{C10DC3B7-3455-4E8C-BE00-615A793AAF02}"/>
    <cellStyle name="Currency 3 2 5 2 3" xfId="5053" xr:uid="{00000000-0005-0000-0000-0000470B0000}"/>
    <cellStyle name="Currency 3 2 5 2 3 2" xfId="13503" xr:uid="{BD775BE5-25E6-462F-A4D8-8DF5E0B829D5}"/>
    <cellStyle name="Currency 3 2 5 2 3 3" xfId="21943" xr:uid="{817B2094-41E6-465F-855B-D01C60B7C3DF}"/>
    <cellStyle name="Currency 3 2 5 2 4" xfId="9285" xr:uid="{5C61EDA6-D29D-4049-91BA-660FB6EF60FD}"/>
    <cellStyle name="Currency 3 2 5 2 5" xfId="17726" xr:uid="{5A922A03-935F-43F0-8672-88E8BF6777A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111BA8B7-9B87-4402-9962-129DC02FB8F4}"/>
    <cellStyle name="Currency 3 2 5 3 2 2 3" xfId="24501" xr:uid="{736DC09D-8486-43B7-A7AF-BA57DCA23D13}"/>
    <cellStyle name="Currency 3 2 5 3 2 3" xfId="11843" xr:uid="{5293F961-9041-47FA-8717-5B8EBC07CDAA}"/>
    <cellStyle name="Currency 3 2 5 3 2 4" xfId="20284" xr:uid="{77B2B2AB-9C8E-437E-9FC9-242C609C787F}"/>
    <cellStyle name="Currency 3 2 5 3 3" xfId="5466" xr:uid="{00000000-0005-0000-0000-00004B0B0000}"/>
    <cellStyle name="Currency 3 2 5 3 3 2" xfId="13916" xr:uid="{F9A45034-76BD-4C45-BDBF-1EB6681817AE}"/>
    <cellStyle name="Currency 3 2 5 3 3 3" xfId="22356" xr:uid="{BF1909FE-6722-45ED-AC38-C347BF4EC6FD}"/>
    <cellStyle name="Currency 3 2 5 3 4" xfId="9698" xr:uid="{AA4A9984-DDF9-411F-A57B-90B6B56D5701}"/>
    <cellStyle name="Currency 3 2 5 3 5" xfId="18139" xr:uid="{435FCEC1-AFBD-4367-9713-3A72224F54D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CE2D9071-2C78-449E-A2B8-7F2359931B99}"/>
    <cellStyle name="Currency 3 2 5 4 2 2 3" xfId="24914" xr:uid="{6134B129-082C-4F82-B0AC-DE749A58A674}"/>
    <cellStyle name="Currency 3 2 5 4 2 3" xfId="12256" xr:uid="{594B7EFB-852A-4C41-8F13-48A6480418D4}"/>
    <cellStyle name="Currency 3 2 5 4 2 4" xfId="20697" xr:uid="{D98BF433-E6B9-48E9-8183-7AF64327B7EB}"/>
    <cellStyle name="Currency 3 2 5 4 3" xfId="5879" xr:uid="{00000000-0005-0000-0000-00004F0B0000}"/>
    <cellStyle name="Currency 3 2 5 4 3 2" xfId="14329" xr:uid="{F65D705A-ADDA-4FFE-8AFB-47921A998839}"/>
    <cellStyle name="Currency 3 2 5 4 3 3" xfId="22769" xr:uid="{B32F8909-CCFE-4223-A798-373BE4CCD2FF}"/>
    <cellStyle name="Currency 3 2 5 4 4" xfId="10111" xr:uid="{A1FF66B8-B54A-4FA1-9AC9-CC6EC01E68DC}"/>
    <cellStyle name="Currency 3 2 5 4 5" xfId="18552" xr:uid="{C77E049C-88D6-45FE-9C0B-B745FFA83309}"/>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A1D1CD31-6D47-444C-B509-5FAC365D7560}"/>
    <cellStyle name="Currency 3 2 5 5 2 2 3" xfId="25327" xr:uid="{4EA79251-DB1C-405E-B40A-1D13B21F2BAA}"/>
    <cellStyle name="Currency 3 2 5 5 2 3" xfId="12669" xr:uid="{B14E1EF9-82D7-4E62-A476-099A43497F1E}"/>
    <cellStyle name="Currency 3 2 5 5 2 4" xfId="21110" xr:uid="{51BFD5CF-EE10-4BB8-A784-F50DB8A40304}"/>
    <cellStyle name="Currency 3 2 5 5 3" xfId="6292" xr:uid="{00000000-0005-0000-0000-0000530B0000}"/>
    <cellStyle name="Currency 3 2 5 5 3 2" xfId="14742" xr:uid="{764C6151-AC9B-4ABA-AA94-DFABBBC74623}"/>
    <cellStyle name="Currency 3 2 5 5 3 3" xfId="23182" xr:uid="{CE5792D2-F0F9-4A17-B5C2-9CF75DEE2EE1}"/>
    <cellStyle name="Currency 3 2 5 5 4" xfId="10524" xr:uid="{D61C869B-D70B-4807-A1B1-46ED3D478B0B}"/>
    <cellStyle name="Currency 3 2 5 5 5" xfId="18965" xr:uid="{21F13180-A4A2-4A00-AD31-8922E1D55EAE}"/>
    <cellStyle name="Currency 3 2 5 6" xfId="2421" xr:uid="{00000000-0005-0000-0000-0000540B0000}"/>
    <cellStyle name="Currency 3 2 5 6 2" xfId="6705" xr:uid="{00000000-0005-0000-0000-0000550B0000}"/>
    <cellStyle name="Currency 3 2 5 6 2 2" xfId="15155" xr:uid="{97A1B6E3-0C4B-4E47-8C45-C97EDB088F97}"/>
    <cellStyle name="Currency 3 2 5 6 2 3" xfId="23595" xr:uid="{219EDFA7-2BDB-4472-870F-A9DDB1DA3AED}"/>
    <cellStyle name="Currency 3 2 5 6 3" xfId="10937" xr:uid="{62BBC3D8-467F-4EEA-9CE4-6C679C9B43C3}"/>
    <cellStyle name="Currency 3 2 5 6 4" xfId="19378" xr:uid="{ADB6C841-4E72-44C2-965F-0CAE5879778A}"/>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AA284226-BAF8-47D5-9E68-B081CE1C4C85}"/>
    <cellStyle name="Currency 3 2 5 8 2 3" xfId="23912" xr:uid="{F913C027-1465-4AC1-AC6B-9BE756A4DE51}"/>
    <cellStyle name="Currency 3 2 5 8 3" xfId="11254" xr:uid="{D1E98169-DB9B-49EA-B959-97D0A14D52BC}"/>
    <cellStyle name="Currency 3 2 5 8 4" xfId="19695" xr:uid="{39639EEA-9E06-4EC4-B804-A9D06075865E}"/>
    <cellStyle name="Currency 3 2 5 9" xfId="4639" xr:uid="{00000000-0005-0000-0000-0000590B0000}"/>
    <cellStyle name="Currency 3 2 5 9 2" xfId="13089" xr:uid="{E5140745-672A-4936-941E-E0C541FA79B2}"/>
    <cellStyle name="Currency 3 2 5 9 3" xfId="21529" xr:uid="{A225E2D6-E9E0-4CDE-8C13-0C5A854D701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F90B000E-CA70-4452-9972-49DBB3D1CC57}"/>
    <cellStyle name="Currency 5 2 2 2 10 2 3" xfId="23913" xr:uid="{A9737FE7-32C5-4F44-91CC-59FB620CFD39}"/>
    <cellStyle name="Currency 5 2 2 2 10 3" xfId="11255" xr:uid="{EB0E23C6-1F45-4ED1-9897-B173535B7EE8}"/>
    <cellStyle name="Currency 5 2 2 2 10 4" xfId="19696" xr:uid="{50FD727B-6CBA-4EAE-89E1-F459555AC7B5}"/>
    <cellStyle name="Currency 5 2 2 2 11" xfId="4640" xr:uid="{00000000-0005-0000-0000-00006C0B0000}"/>
    <cellStyle name="Currency 5 2 2 2 11 2" xfId="13090" xr:uid="{F01DA178-CCD0-47BE-96C1-63791E58C226}"/>
    <cellStyle name="Currency 5 2 2 2 11 3" xfId="21530" xr:uid="{EF584FFB-C0A0-4A9D-930D-17BE7195229A}"/>
    <cellStyle name="Currency 5 2 2 2 12" xfId="8872" xr:uid="{894CED15-5909-4192-8E3C-EEBC7E06D439}"/>
    <cellStyle name="Currency 5 2 2 2 13" xfId="17313" xr:uid="{AB8C76EC-84AB-4D0A-B218-F0B409A18DFA}"/>
    <cellStyle name="Currency 5 2 2 2 2" xfId="197" xr:uid="{00000000-0005-0000-0000-00006D0B0000}"/>
    <cellStyle name="Currency 5 2 2 2 2 10" xfId="4641" xr:uid="{00000000-0005-0000-0000-00006E0B0000}"/>
    <cellStyle name="Currency 5 2 2 2 2 10 2" xfId="13091" xr:uid="{A8A1BA76-3113-42A1-A08A-69DA0749371E}"/>
    <cellStyle name="Currency 5 2 2 2 2 10 3" xfId="21531" xr:uid="{4ED1B90B-150B-4443-8560-4035B258FE7B}"/>
    <cellStyle name="Currency 5 2 2 2 2 11" xfId="8873" xr:uid="{65C2ABA0-9F0E-4950-A53B-0A1BB803324C}"/>
    <cellStyle name="Currency 5 2 2 2 2 12" xfId="17314" xr:uid="{8EB60A10-A4D5-460F-B117-E5066D175E03}"/>
    <cellStyle name="Currency 5 2 2 2 2 2" xfId="198" xr:uid="{00000000-0005-0000-0000-00006F0B0000}"/>
    <cellStyle name="Currency 5 2 2 2 2 2 10" xfId="8874" xr:uid="{64D83CE2-9403-4986-A77C-CBBBBCEA8283}"/>
    <cellStyle name="Currency 5 2 2 2 2 2 11" xfId="17315" xr:uid="{2F560EE0-620D-4608-B892-56438F75B54E}"/>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6D3109DD-E9BA-4B44-A028-64352DD9E8E3}"/>
    <cellStyle name="Currency 5 2 2 2 2 2 2 2 2 3" xfId="24091" xr:uid="{10BC567C-FCC7-4317-B046-5EEAF783F957}"/>
    <cellStyle name="Currency 5 2 2 2 2 2 2 2 3" xfId="11433" xr:uid="{7889BD10-EE19-47B7-BDFE-DC6DA9150255}"/>
    <cellStyle name="Currency 5 2 2 2 2 2 2 2 4" xfId="19874" xr:uid="{43064051-44E2-4F1E-AE51-A4F8A998B6D4}"/>
    <cellStyle name="Currency 5 2 2 2 2 2 2 3" xfId="5056" xr:uid="{00000000-0005-0000-0000-0000730B0000}"/>
    <cellStyle name="Currency 5 2 2 2 2 2 2 3 2" xfId="13506" xr:uid="{D7E00D3B-550B-448D-A647-6A41AECD9B34}"/>
    <cellStyle name="Currency 5 2 2 2 2 2 2 3 3" xfId="21946" xr:uid="{23ED8EB9-F916-43B3-B293-CAC822887FAD}"/>
    <cellStyle name="Currency 5 2 2 2 2 2 2 4" xfId="9288" xr:uid="{FA2A6F6F-7655-42D6-AB97-23006006A7E8}"/>
    <cellStyle name="Currency 5 2 2 2 2 2 2 5" xfId="17729" xr:uid="{9C716C5B-49BB-40D3-A8DF-32C508D5609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B04F7881-C707-46C0-B68D-05DC08C8AC9B}"/>
    <cellStyle name="Currency 5 2 2 2 2 2 3 2 2 3" xfId="24504" xr:uid="{A1BC511A-067C-4F9F-BAE8-B2A96E775385}"/>
    <cellStyle name="Currency 5 2 2 2 2 2 3 2 3" xfId="11846" xr:uid="{05A8BABF-CEAE-46C4-9264-8DE8DA606F43}"/>
    <cellStyle name="Currency 5 2 2 2 2 2 3 2 4" xfId="20287" xr:uid="{6B8BC15A-A0A0-4E08-BB73-B33BD0A15A70}"/>
    <cellStyle name="Currency 5 2 2 2 2 2 3 3" xfId="5469" xr:uid="{00000000-0005-0000-0000-0000770B0000}"/>
    <cellStyle name="Currency 5 2 2 2 2 2 3 3 2" xfId="13919" xr:uid="{984D0DA2-C5BF-4098-806B-AB859DFF1D70}"/>
    <cellStyle name="Currency 5 2 2 2 2 2 3 3 3" xfId="22359" xr:uid="{D4A9B532-D97E-4049-A0A9-78BEC06E3B5B}"/>
    <cellStyle name="Currency 5 2 2 2 2 2 3 4" xfId="9701" xr:uid="{A626D79E-B3FA-4C8D-88DB-17BED21FE628}"/>
    <cellStyle name="Currency 5 2 2 2 2 2 3 5" xfId="18142" xr:uid="{D0E100D8-E9B9-4CBF-A5E5-CD75E52D20F2}"/>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AE9E46BA-27A4-4D4B-B08B-BE9982287BF7}"/>
    <cellStyle name="Currency 5 2 2 2 2 2 4 2 2 3" xfId="24917" xr:uid="{FB45BDD6-961B-4F93-AAAA-BD51DDD74482}"/>
    <cellStyle name="Currency 5 2 2 2 2 2 4 2 3" xfId="12259" xr:uid="{A058B86B-1703-40E6-9688-3106ADCE75CA}"/>
    <cellStyle name="Currency 5 2 2 2 2 2 4 2 4" xfId="20700" xr:uid="{6EEE7ADD-1FB1-4647-9EED-40295D9B4B9E}"/>
    <cellStyle name="Currency 5 2 2 2 2 2 4 3" xfId="5882" xr:uid="{00000000-0005-0000-0000-00007B0B0000}"/>
    <cellStyle name="Currency 5 2 2 2 2 2 4 3 2" xfId="14332" xr:uid="{C34A74ED-8F76-44D1-9980-46EBDEF84D4A}"/>
    <cellStyle name="Currency 5 2 2 2 2 2 4 3 3" xfId="22772" xr:uid="{2A69DD8B-96C0-4AC3-9128-ED245E89D905}"/>
    <cellStyle name="Currency 5 2 2 2 2 2 4 4" xfId="10114" xr:uid="{6010890E-6F32-4DD4-8623-6B0ED6F94B04}"/>
    <cellStyle name="Currency 5 2 2 2 2 2 4 5" xfId="18555" xr:uid="{98053D8E-8724-4A93-B9B5-BFD2D62863AD}"/>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2F41E756-9248-4A6F-A302-34BAC9105BFA}"/>
    <cellStyle name="Currency 5 2 2 2 2 2 5 2 2 3" xfId="25330" xr:uid="{E62F4341-177C-4D76-BE28-1266B681F4C3}"/>
    <cellStyle name="Currency 5 2 2 2 2 2 5 2 3" xfId="12672" xr:uid="{716B43C6-F57F-4040-8B01-1BF737CB3496}"/>
    <cellStyle name="Currency 5 2 2 2 2 2 5 2 4" xfId="21113" xr:uid="{2370666E-5716-46B7-8F55-56B61C931084}"/>
    <cellStyle name="Currency 5 2 2 2 2 2 5 3" xfId="6295" xr:uid="{00000000-0005-0000-0000-00007F0B0000}"/>
    <cellStyle name="Currency 5 2 2 2 2 2 5 3 2" xfId="14745" xr:uid="{30825B58-7B53-41ED-AA82-28238806303F}"/>
    <cellStyle name="Currency 5 2 2 2 2 2 5 3 3" xfId="23185" xr:uid="{B3820426-ED7D-40C5-922C-1EC955EEFDC2}"/>
    <cellStyle name="Currency 5 2 2 2 2 2 5 4" xfId="10527" xr:uid="{F2A5D6C0-A624-4400-AB6C-F8271037A86F}"/>
    <cellStyle name="Currency 5 2 2 2 2 2 5 5" xfId="18968" xr:uid="{FDF0167D-0D4A-46E3-B8E2-0A7F48B9C6A9}"/>
    <cellStyle name="Currency 5 2 2 2 2 2 6" xfId="2424" xr:uid="{00000000-0005-0000-0000-0000800B0000}"/>
    <cellStyle name="Currency 5 2 2 2 2 2 6 2" xfId="6708" xr:uid="{00000000-0005-0000-0000-0000810B0000}"/>
    <cellStyle name="Currency 5 2 2 2 2 2 6 2 2" xfId="15158" xr:uid="{BC3FBFC9-D649-4FFC-A00D-4936A9FFB09E}"/>
    <cellStyle name="Currency 5 2 2 2 2 2 6 2 3" xfId="23598" xr:uid="{7C2AEC76-7EB8-4052-BB5A-49DFB588CD10}"/>
    <cellStyle name="Currency 5 2 2 2 2 2 6 3" xfId="10940" xr:uid="{F628FDD1-0710-48FA-962A-A72DD14F84A4}"/>
    <cellStyle name="Currency 5 2 2 2 2 2 6 4" xfId="19381" xr:uid="{2D6BBA52-D46A-4716-8BC4-702AC3EEF04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B2FD55FB-7DCD-47F4-B304-A40AE98F235C}"/>
    <cellStyle name="Currency 5 2 2 2 2 2 8 2 3" xfId="23915" xr:uid="{A6E23FDC-C10D-418B-BBAF-F35F7728BB9D}"/>
    <cellStyle name="Currency 5 2 2 2 2 2 8 3" xfId="11257" xr:uid="{6874D6A8-8F78-4A6D-8C0A-0DC0EDDCCAFD}"/>
    <cellStyle name="Currency 5 2 2 2 2 2 8 4" xfId="19698" xr:uid="{BB759795-3ACE-49A7-8355-BA810A84CEF7}"/>
    <cellStyle name="Currency 5 2 2 2 2 2 9" xfId="4642" xr:uid="{00000000-0005-0000-0000-0000850B0000}"/>
    <cellStyle name="Currency 5 2 2 2 2 2 9 2" xfId="13092" xr:uid="{75ACE173-E5F6-4CB0-9E86-923257F45E72}"/>
    <cellStyle name="Currency 5 2 2 2 2 2 9 3" xfId="21532" xr:uid="{1D91E047-8811-42F4-ACC6-FD13AADE716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72CF3637-555B-48C7-B2D5-A5C042A64C32}"/>
    <cellStyle name="Currency 5 2 2 2 2 3 2 2 3" xfId="24090" xr:uid="{D15792D1-052C-45C3-92EC-12CEA6F4E3DB}"/>
    <cellStyle name="Currency 5 2 2 2 2 3 2 3" xfId="11432" xr:uid="{C90817F2-C74B-4ED0-8EDC-F40364345888}"/>
    <cellStyle name="Currency 5 2 2 2 2 3 2 4" xfId="19873" xr:uid="{DD720A9D-A45C-4BD8-BF21-F116A6C5476F}"/>
    <cellStyle name="Currency 5 2 2 2 2 3 3" xfId="5055" xr:uid="{00000000-0005-0000-0000-0000890B0000}"/>
    <cellStyle name="Currency 5 2 2 2 2 3 3 2" xfId="13505" xr:uid="{26E5D236-55E3-49D9-BFAF-BFE25C602328}"/>
    <cellStyle name="Currency 5 2 2 2 2 3 3 3" xfId="21945" xr:uid="{96C8C108-7585-47CA-B5A3-2F4838423530}"/>
    <cellStyle name="Currency 5 2 2 2 2 3 4" xfId="9287" xr:uid="{013EBB35-5668-4978-B02D-F142B2C75D5E}"/>
    <cellStyle name="Currency 5 2 2 2 2 3 5" xfId="17728" xr:uid="{E1ACBCA5-0860-45D8-AB94-710E9DC8288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C8B3B005-A031-47B6-A762-5B0799E9D388}"/>
    <cellStyle name="Currency 5 2 2 2 2 4 2 2 3" xfId="24503" xr:uid="{347E560F-D3F3-476E-AE32-601F3345605A}"/>
    <cellStyle name="Currency 5 2 2 2 2 4 2 3" xfId="11845" xr:uid="{924B4498-46AA-4BED-871B-A7C12DC09852}"/>
    <cellStyle name="Currency 5 2 2 2 2 4 2 4" xfId="20286" xr:uid="{EA1010AF-C039-40A5-92CF-68B3937F9AFB}"/>
    <cellStyle name="Currency 5 2 2 2 2 4 3" xfId="5468" xr:uid="{00000000-0005-0000-0000-00008D0B0000}"/>
    <cellStyle name="Currency 5 2 2 2 2 4 3 2" xfId="13918" xr:uid="{DC2EF5BF-13EC-4440-84CA-9F5B25F487A9}"/>
    <cellStyle name="Currency 5 2 2 2 2 4 3 3" xfId="22358" xr:uid="{5AEBC70D-D293-4E9D-AD5A-343D5B2A3368}"/>
    <cellStyle name="Currency 5 2 2 2 2 4 4" xfId="9700" xr:uid="{B5E3004B-E68F-40D1-BC97-F2435ED40378}"/>
    <cellStyle name="Currency 5 2 2 2 2 4 5" xfId="18141" xr:uid="{6818112D-4DEF-404D-BA53-34322F1F1E2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815D1DB0-27BA-41D5-9EB8-0BCCE545BE5D}"/>
    <cellStyle name="Currency 5 2 2 2 2 5 2 2 3" xfId="24916" xr:uid="{E290FDA9-FBF4-4650-8D96-F0B26E652641}"/>
    <cellStyle name="Currency 5 2 2 2 2 5 2 3" xfId="12258" xr:uid="{A27A50DD-C810-41E1-B3F9-CD7EECC655C2}"/>
    <cellStyle name="Currency 5 2 2 2 2 5 2 4" xfId="20699" xr:uid="{58369FAA-0A40-484D-8F72-F80769212934}"/>
    <cellStyle name="Currency 5 2 2 2 2 5 3" xfId="5881" xr:uid="{00000000-0005-0000-0000-0000910B0000}"/>
    <cellStyle name="Currency 5 2 2 2 2 5 3 2" xfId="14331" xr:uid="{6428ADF2-E05E-48B6-9C00-54E50810F6A8}"/>
    <cellStyle name="Currency 5 2 2 2 2 5 3 3" xfId="22771" xr:uid="{5AEC8379-72ED-4CFE-B179-DE9BC38D4E64}"/>
    <cellStyle name="Currency 5 2 2 2 2 5 4" xfId="10113" xr:uid="{ADF1E339-FC9E-4D5F-A894-8E268F89608F}"/>
    <cellStyle name="Currency 5 2 2 2 2 5 5" xfId="18554" xr:uid="{43A6BDE7-4F49-4AEC-933C-AC472EED383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A6660DB0-538C-4415-ABF5-B3CF9FD7338C}"/>
    <cellStyle name="Currency 5 2 2 2 2 6 2 2 3" xfId="25329" xr:uid="{6976585A-44AE-4B15-90BB-1325105ABAC6}"/>
    <cellStyle name="Currency 5 2 2 2 2 6 2 3" xfId="12671" xr:uid="{9D9B45A7-6C70-49A7-BC63-739AA37D4A76}"/>
    <cellStyle name="Currency 5 2 2 2 2 6 2 4" xfId="21112" xr:uid="{0EE2CF51-8B0B-48A4-AF99-4E8676848EA2}"/>
    <cellStyle name="Currency 5 2 2 2 2 6 3" xfId="6294" xr:uid="{00000000-0005-0000-0000-0000950B0000}"/>
    <cellStyle name="Currency 5 2 2 2 2 6 3 2" xfId="14744" xr:uid="{34A4EDDF-31D0-4062-A4A6-05CE0F59567D}"/>
    <cellStyle name="Currency 5 2 2 2 2 6 3 3" xfId="23184" xr:uid="{8690EE30-B4AE-4F84-9AA7-540D98C2BDEA}"/>
    <cellStyle name="Currency 5 2 2 2 2 6 4" xfId="10526" xr:uid="{32A13A87-69C5-4A9B-B958-1FE5BD3A2041}"/>
    <cellStyle name="Currency 5 2 2 2 2 6 5" xfId="18967" xr:uid="{12596B48-76DB-4A2A-898E-4E0B9CA63618}"/>
    <cellStyle name="Currency 5 2 2 2 2 7" xfId="2423" xr:uid="{00000000-0005-0000-0000-0000960B0000}"/>
    <cellStyle name="Currency 5 2 2 2 2 7 2" xfId="6707" xr:uid="{00000000-0005-0000-0000-0000970B0000}"/>
    <cellStyle name="Currency 5 2 2 2 2 7 2 2" xfId="15157" xr:uid="{146C220C-35D1-4467-AC74-3FB3032B2DA7}"/>
    <cellStyle name="Currency 5 2 2 2 2 7 2 3" xfId="23597" xr:uid="{0FD8E9E7-B53C-4340-8698-E132BE54EC8E}"/>
    <cellStyle name="Currency 5 2 2 2 2 7 3" xfId="10939" xr:uid="{6D97C65F-00E1-4EA4-9F80-8A27082F3A7D}"/>
    <cellStyle name="Currency 5 2 2 2 2 7 4" xfId="19380" xr:uid="{81A5AE46-19B0-495E-B3C6-9802A17442B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5843F5C7-6A40-4140-9090-47D9DB172C8F}"/>
    <cellStyle name="Currency 5 2 2 2 2 9 2 3" xfId="23914" xr:uid="{BA839AC3-5FD5-43B1-9461-FCC95A5689A0}"/>
    <cellStyle name="Currency 5 2 2 2 2 9 3" xfId="11256" xr:uid="{51B50216-BB14-4963-B640-759B15AB9C5C}"/>
    <cellStyle name="Currency 5 2 2 2 2 9 4" xfId="19697" xr:uid="{85A81C2B-E24E-415D-8440-9D518F77AB8C}"/>
    <cellStyle name="Currency 5 2 2 2 3" xfId="199" xr:uid="{00000000-0005-0000-0000-00009B0B0000}"/>
    <cellStyle name="Currency 5 2 2 2 3 10" xfId="8875" xr:uid="{BAE7ED8E-3C64-484C-BF41-C31D9B65D5EC}"/>
    <cellStyle name="Currency 5 2 2 2 3 11" xfId="17316" xr:uid="{BCC9E0D5-152A-405F-AA6F-7BB4830573A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265CA970-7CA2-4FDD-AF3A-F55B259B5322}"/>
    <cellStyle name="Currency 5 2 2 2 3 2 2 2 3" xfId="24092" xr:uid="{2EDA80CD-A645-4207-9DFD-A33E4BB50865}"/>
    <cellStyle name="Currency 5 2 2 2 3 2 2 3" xfId="11434" xr:uid="{CC2BD0C1-E40E-4162-B8EC-338D5DD27AC5}"/>
    <cellStyle name="Currency 5 2 2 2 3 2 2 4" xfId="19875" xr:uid="{3833186F-34E0-4B55-BD1A-A61153429BF2}"/>
    <cellStyle name="Currency 5 2 2 2 3 2 3" xfId="5057" xr:uid="{00000000-0005-0000-0000-00009F0B0000}"/>
    <cellStyle name="Currency 5 2 2 2 3 2 3 2" xfId="13507" xr:uid="{D7BEE4DF-48E3-4B2E-A104-D7CEEB347C5B}"/>
    <cellStyle name="Currency 5 2 2 2 3 2 3 3" xfId="21947" xr:uid="{1CE4BA76-D39F-40E6-8A37-5DF3F6D48341}"/>
    <cellStyle name="Currency 5 2 2 2 3 2 4" xfId="9289" xr:uid="{11B18807-F8A6-45D6-ACE9-7B59339286A5}"/>
    <cellStyle name="Currency 5 2 2 2 3 2 5" xfId="17730" xr:uid="{46D41EB5-F5CF-409B-B86D-5456BF88CF9B}"/>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0B60C9FD-24B0-4F18-808B-5E2E058C0220}"/>
    <cellStyle name="Currency 5 2 2 2 3 3 2 2 3" xfId="24505" xr:uid="{EEF95578-6DA1-4D9A-8473-EF7465A881EF}"/>
    <cellStyle name="Currency 5 2 2 2 3 3 2 3" xfId="11847" xr:uid="{E94E6215-AC5B-47A7-8367-3BBC4BC0AED8}"/>
    <cellStyle name="Currency 5 2 2 2 3 3 2 4" xfId="20288" xr:uid="{DB8BD250-EEFC-4B53-A8D2-5B00DA0E90F5}"/>
    <cellStyle name="Currency 5 2 2 2 3 3 3" xfId="5470" xr:uid="{00000000-0005-0000-0000-0000A30B0000}"/>
    <cellStyle name="Currency 5 2 2 2 3 3 3 2" xfId="13920" xr:uid="{03731F92-53B8-4434-B0C5-C56FBC9BA75D}"/>
    <cellStyle name="Currency 5 2 2 2 3 3 3 3" xfId="22360" xr:uid="{D3C0D36A-8ED7-4400-BF57-06859C84B30C}"/>
    <cellStyle name="Currency 5 2 2 2 3 3 4" xfId="9702" xr:uid="{15BA24D8-23B2-4C70-A084-819A55FE7C3A}"/>
    <cellStyle name="Currency 5 2 2 2 3 3 5" xfId="18143" xr:uid="{6DEC135C-7D49-4A89-9635-18604AD004D5}"/>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B1AC56D4-A94B-43E4-B2CE-0B359EFC8EFB}"/>
    <cellStyle name="Currency 5 2 2 2 3 4 2 2 3" xfId="24918" xr:uid="{5E7B980A-1352-4A02-BBAA-5CE55C957F02}"/>
    <cellStyle name="Currency 5 2 2 2 3 4 2 3" xfId="12260" xr:uid="{B0B6EB46-ED91-45BC-A8C1-03915B38D5AA}"/>
    <cellStyle name="Currency 5 2 2 2 3 4 2 4" xfId="20701" xr:uid="{AB5D9D74-42AF-47DD-BE7C-53568C2FF0E3}"/>
    <cellStyle name="Currency 5 2 2 2 3 4 3" xfId="5883" xr:uid="{00000000-0005-0000-0000-0000A70B0000}"/>
    <cellStyle name="Currency 5 2 2 2 3 4 3 2" xfId="14333" xr:uid="{C35B176E-5DC2-492A-B400-89FD5B912E29}"/>
    <cellStyle name="Currency 5 2 2 2 3 4 3 3" xfId="22773" xr:uid="{33506F41-5E32-47DC-800A-6C22B145F358}"/>
    <cellStyle name="Currency 5 2 2 2 3 4 4" xfId="10115" xr:uid="{8A47ADEB-4433-424D-BCCB-7B362E5092EF}"/>
    <cellStyle name="Currency 5 2 2 2 3 4 5" xfId="18556" xr:uid="{B5FEBA62-EF38-4E19-8A7D-CD181C163EC9}"/>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71E1F0B4-7188-47AD-9287-9083F7ABF0CD}"/>
    <cellStyle name="Currency 5 2 2 2 3 5 2 2 3" xfId="25331" xr:uid="{391201E1-741F-42FA-B891-F8103D54A83C}"/>
    <cellStyle name="Currency 5 2 2 2 3 5 2 3" xfId="12673" xr:uid="{115CCD6E-6FD0-4232-AA5B-17A6D0959F55}"/>
    <cellStyle name="Currency 5 2 2 2 3 5 2 4" xfId="21114" xr:uid="{5D648FC9-4569-419F-B8A3-7FDAEA8B407C}"/>
    <cellStyle name="Currency 5 2 2 2 3 5 3" xfId="6296" xr:uid="{00000000-0005-0000-0000-0000AB0B0000}"/>
    <cellStyle name="Currency 5 2 2 2 3 5 3 2" xfId="14746" xr:uid="{5B99C78A-F0CC-4110-BF7D-68782DAF6A9F}"/>
    <cellStyle name="Currency 5 2 2 2 3 5 3 3" xfId="23186" xr:uid="{33EAEDBA-1DBC-4E15-AAA1-7085463BD244}"/>
    <cellStyle name="Currency 5 2 2 2 3 5 4" xfId="10528" xr:uid="{5B634EA2-1049-41B5-B13A-954F0AD21F58}"/>
    <cellStyle name="Currency 5 2 2 2 3 5 5" xfId="18969" xr:uid="{5CFC509D-E4AE-485B-A840-C0C1FF2784EB}"/>
    <cellStyle name="Currency 5 2 2 2 3 6" xfId="2425" xr:uid="{00000000-0005-0000-0000-0000AC0B0000}"/>
    <cellStyle name="Currency 5 2 2 2 3 6 2" xfId="6709" xr:uid="{00000000-0005-0000-0000-0000AD0B0000}"/>
    <cellStyle name="Currency 5 2 2 2 3 6 2 2" xfId="15159" xr:uid="{1490FBDB-9A0A-454F-B4A4-7B99C3F0ED28}"/>
    <cellStyle name="Currency 5 2 2 2 3 6 2 3" xfId="23599" xr:uid="{B6ED670F-1EF9-4D92-99CE-926FEE42ABBD}"/>
    <cellStyle name="Currency 5 2 2 2 3 6 3" xfId="10941" xr:uid="{6AF77E95-50FF-47DD-A155-978003B074A2}"/>
    <cellStyle name="Currency 5 2 2 2 3 6 4" xfId="19382" xr:uid="{6C28C9FF-4985-4144-B29B-B264D1EA4E9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C50EF53-B399-41E3-9B1C-9AA65FDEA353}"/>
    <cellStyle name="Currency 5 2 2 2 3 8 2 3" xfId="23916" xr:uid="{30F86D92-2207-49AF-A0FE-CB22913F373C}"/>
    <cellStyle name="Currency 5 2 2 2 3 8 3" xfId="11258" xr:uid="{1177CA53-3499-4DD3-B71D-27AB47E96A59}"/>
    <cellStyle name="Currency 5 2 2 2 3 8 4" xfId="19699" xr:uid="{FACF5DB0-C04D-49C5-9223-EDCED570CA5A}"/>
    <cellStyle name="Currency 5 2 2 2 3 9" xfId="4643" xr:uid="{00000000-0005-0000-0000-0000B10B0000}"/>
    <cellStyle name="Currency 5 2 2 2 3 9 2" xfId="13093" xr:uid="{6D4EAE34-D126-4D96-9B33-DBD2217978FA}"/>
    <cellStyle name="Currency 5 2 2 2 3 9 3" xfId="21533" xr:uid="{ACAA6D28-C06D-4A7B-A8B0-45EEE26E2E35}"/>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2C22197A-0722-4A79-9D9C-4C2EA6733896}"/>
    <cellStyle name="Currency 5 2 2 2 4 2 2 3" xfId="24089" xr:uid="{864DE3AC-0450-4D6F-8483-35C67B91D9F7}"/>
    <cellStyle name="Currency 5 2 2 2 4 2 3" xfId="11431" xr:uid="{7810A8B9-9AC9-4A29-8600-C51027367800}"/>
    <cellStyle name="Currency 5 2 2 2 4 2 4" xfId="19872" xr:uid="{96C4B28E-A35D-445B-8D16-41F7605EA55F}"/>
    <cellStyle name="Currency 5 2 2 2 4 3" xfId="5054" xr:uid="{00000000-0005-0000-0000-0000B50B0000}"/>
    <cellStyle name="Currency 5 2 2 2 4 3 2" xfId="13504" xr:uid="{111971FE-7E26-4BE0-91AE-914EE305B042}"/>
    <cellStyle name="Currency 5 2 2 2 4 3 3" xfId="21944" xr:uid="{0E104688-F8AE-42B4-B8EE-527A5B9DE164}"/>
    <cellStyle name="Currency 5 2 2 2 4 4" xfId="9286" xr:uid="{C46ABFDE-CC02-48B2-9544-BDE70D43E14C}"/>
    <cellStyle name="Currency 5 2 2 2 4 5" xfId="17727" xr:uid="{CA13884A-A506-4FDF-8189-A75A73540BA2}"/>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2094F0D1-9594-4192-998B-1BCF3AC1BAB0}"/>
    <cellStyle name="Currency 5 2 2 2 5 2 2 3" xfId="24502" xr:uid="{8C4583E3-EF54-4866-B934-9F27D9909C3B}"/>
    <cellStyle name="Currency 5 2 2 2 5 2 3" xfId="11844" xr:uid="{B8DF73D0-BA35-4CC6-9FE3-03FF9086036A}"/>
    <cellStyle name="Currency 5 2 2 2 5 2 4" xfId="20285" xr:uid="{40725C39-6AE2-4E97-9946-DA058F160E24}"/>
    <cellStyle name="Currency 5 2 2 2 5 3" xfId="5467" xr:uid="{00000000-0005-0000-0000-0000B90B0000}"/>
    <cellStyle name="Currency 5 2 2 2 5 3 2" xfId="13917" xr:uid="{F5BC708D-16C7-4797-9352-D06D1D075ADC}"/>
    <cellStyle name="Currency 5 2 2 2 5 3 3" xfId="22357" xr:uid="{4D5B6CE9-7A5B-4AB4-85B3-6C53355D6099}"/>
    <cellStyle name="Currency 5 2 2 2 5 4" xfId="9699" xr:uid="{85292EC5-27D9-4F67-97F7-4936CC0AE449}"/>
    <cellStyle name="Currency 5 2 2 2 5 5" xfId="18140" xr:uid="{C49C7E03-E781-4B84-8771-37E532EE09E4}"/>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ACC194CC-D1D4-4468-BBE3-AF7F7A4FF305}"/>
    <cellStyle name="Currency 5 2 2 2 6 2 2 3" xfId="24915" xr:uid="{DDF575A9-D769-4220-96A4-A5DBB96A4A7C}"/>
    <cellStyle name="Currency 5 2 2 2 6 2 3" xfId="12257" xr:uid="{5ACF171F-81AC-4565-8655-85B5D6DA498B}"/>
    <cellStyle name="Currency 5 2 2 2 6 2 4" xfId="20698" xr:uid="{135E8984-28D5-4189-9728-217555187D0E}"/>
    <cellStyle name="Currency 5 2 2 2 6 3" xfId="5880" xr:uid="{00000000-0005-0000-0000-0000BD0B0000}"/>
    <cellStyle name="Currency 5 2 2 2 6 3 2" xfId="14330" xr:uid="{3EF34E75-2A4A-454B-83D9-5627D32180E3}"/>
    <cellStyle name="Currency 5 2 2 2 6 3 3" xfId="22770" xr:uid="{9791A4ED-CFC5-41EF-88AC-38E951E8B351}"/>
    <cellStyle name="Currency 5 2 2 2 6 4" xfId="10112" xr:uid="{4BCFBBCA-7AE0-40C8-BCFA-579B528B6D62}"/>
    <cellStyle name="Currency 5 2 2 2 6 5" xfId="18553" xr:uid="{DC51A7A5-1981-4F76-89E5-8109F814167F}"/>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BDE0E5C-8657-4BBB-A54A-E3F46C5E73EB}"/>
    <cellStyle name="Currency 5 2 2 2 7 2 2 3" xfId="25328" xr:uid="{A870EE0D-845B-4AED-83BC-894700EECC57}"/>
    <cellStyle name="Currency 5 2 2 2 7 2 3" xfId="12670" xr:uid="{353B4818-3073-4D2F-9EBC-F159B95FB68B}"/>
    <cellStyle name="Currency 5 2 2 2 7 2 4" xfId="21111" xr:uid="{C4B1DCBC-97A4-4800-BD3D-338C78956245}"/>
    <cellStyle name="Currency 5 2 2 2 7 3" xfId="6293" xr:uid="{00000000-0005-0000-0000-0000C10B0000}"/>
    <cellStyle name="Currency 5 2 2 2 7 3 2" xfId="14743" xr:uid="{DCEE1FD6-A1EE-4FE4-99C1-962BC547C94F}"/>
    <cellStyle name="Currency 5 2 2 2 7 3 3" xfId="23183" xr:uid="{47AEC876-C179-4F6C-B747-578C9A6CFE06}"/>
    <cellStyle name="Currency 5 2 2 2 7 4" xfId="10525" xr:uid="{29EF1596-B2BF-4A84-A22E-CC92431458F7}"/>
    <cellStyle name="Currency 5 2 2 2 7 5" xfId="18966" xr:uid="{656DF61A-8C2D-4674-8DE0-0359C8264585}"/>
    <cellStyle name="Currency 5 2 2 2 8" xfId="2422" xr:uid="{00000000-0005-0000-0000-0000C20B0000}"/>
    <cellStyle name="Currency 5 2 2 2 8 2" xfId="6706" xr:uid="{00000000-0005-0000-0000-0000C30B0000}"/>
    <cellStyle name="Currency 5 2 2 2 8 2 2" xfId="15156" xr:uid="{3D3D2831-3019-4DE2-8F98-2D7BDBD8A397}"/>
    <cellStyle name="Currency 5 2 2 2 8 2 3" xfId="23596" xr:uid="{6FD18EFB-6E0D-4580-BD96-24FBBC24BCB8}"/>
    <cellStyle name="Currency 5 2 2 2 8 3" xfId="10938" xr:uid="{0103BA52-319B-43CD-A2C7-6234FD1118D7}"/>
    <cellStyle name="Currency 5 2 2 2 8 4" xfId="19379" xr:uid="{78BF634D-29DA-4BAC-8350-E903F5DC025C}"/>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53A292DA-CDB6-4525-BA92-334E3009A52F}"/>
    <cellStyle name="Currency 5 2 2 3 10 3" xfId="21534" xr:uid="{92C05E59-3CD5-4DC6-AF6F-5B1E10F21874}"/>
    <cellStyle name="Currency 5 2 2 3 11" xfId="8876" xr:uid="{C4A2EDF6-3C6A-4F33-8853-5F1C457F808A}"/>
    <cellStyle name="Currency 5 2 2 3 12" xfId="17317" xr:uid="{E6A31959-925D-4B55-9F00-16BC839BFD21}"/>
    <cellStyle name="Currency 5 2 2 3 2" xfId="201" xr:uid="{00000000-0005-0000-0000-0000C70B0000}"/>
    <cellStyle name="Currency 5 2 2 3 2 10" xfId="8877" xr:uid="{0AEF6B58-7F94-49BF-B092-96A43CF7D9D6}"/>
    <cellStyle name="Currency 5 2 2 3 2 11" xfId="17318" xr:uid="{543386AD-D43D-4A45-A190-315070A783D8}"/>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1BF36F08-6F20-4CC5-A07B-E955F1839317}"/>
    <cellStyle name="Currency 5 2 2 3 2 2 2 2 3" xfId="24094" xr:uid="{375049BE-A700-41C2-96C0-8C0B5C198599}"/>
    <cellStyle name="Currency 5 2 2 3 2 2 2 3" xfId="11436" xr:uid="{88C08FAE-4A0D-425E-A5B3-2AF57C5BF7E4}"/>
    <cellStyle name="Currency 5 2 2 3 2 2 2 4" xfId="19877" xr:uid="{FE5EAC4B-F385-4CE5-9D01-B22986D76E74}"/>
    <cellStyle name="Currency 5 2 2 3 2 2 3" xfId="5059" xr:uid="{00000000-0005-0000-0000-0000CB0B0000}"/>
    <cellStyle name="Currency 5 2 2 3 2 2 3 2" xfId="13509" xr:uid="{E3D204D8-284F-4438-A3EF-E615A53BF1CC}"/>
    <cellStyle name="Currency 5 2 2 3 2 2 3 3" xfId="21949" xr:uid="{A82BA2F9-E489-4C71-A924-1E8553994359}"/>
    <cellStyle name="Currency 5 2 2 3 2 2 4" xfId="9291" xr:uid="{3791336C-6C16-40EC-863F-0C484D4F28EA}"/>
    <cellStyle name="Currency 5 2 2 3 2 2 5" xfId="17732" xr:uid="{0B2E525F-392F-483D-B9FC-AF15A128D1F3}"/>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630BF857-3FAE-43CD-8858-FF769208CC59}"/>
    <cellStyle name="Currency 5 2 2 3 2 3 2 2 3" xfId="24507" xr:uid="{7ADD74D5-4A51-4E4D-B602-BA218CBB76D9}"/>
    <cellStyle name="Currency 5 2 2 3 2 3 2 3" xfId="11849" xr:uid="{EDCB9213-07F5-4399-AC17-B8736402F15E}"/>
    <cellStyle name="Currency 5 2 2 3 2 3 2 4" xfId="20290" xr:uid="{1E07E47E-BCAF-4328-AB3B-D233FE610690}"/>
    <cellStyle name="Currency 5 2 2 3 2 3 3" xfId="5472" xr:uid="{00000000-0005-0000-0000-0000CF0B0000}"/>
    <cellStyle name="Currency 5 2 2 3 2 3 3 2" xfId="13922" xr:uid="{F94F148B-6CBE-410C-9DBC-7F0035390855}"/>
    <cellStyle name="Currency 5 2 2 3 2 3 3 3" xfId="22362" xr:uid="{C3043643-1786-4450-B182-E1D1DA35E18F}"/>
    <cellStyle name="Currency 5 2 2 3 2 3 4" xfId="9704" xr:uid="{2E2B3B94-83AF-4DFB-9549-23094B27DBD1}"/>
    <cellStyle name="Currency 5 2 2 3 2 3 5" xfId="18145" xr:uid="{D2CECDB3-F40E-44D6-8C02-C5DD9C7FEFFA}"/>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813508D4-2E53-480D-8CE7-183E2C754984}"/>
    <cellStyle name="Currency 5 2 2 3 2 4 2 2 3" xfId="24920" xr:uid="{781CD1E8-294F-4963-B5BB-E41EE25DAF7C}"/>
    <cellStyle name="Currency 5 2 2 3 2 4 2 3" xfId="12262" xr:uid="{3F4DFDCE-0EDA-4128-B9A7-2FC367C7454C}"/>
    <cellStyle name="Currency 5 2 2 3 2 4 2 4" xfId="20703" xr:uid="{589745FA-2BB9-42C0-9284-4EF937B3143A}"/>
    <cellStyle name="Currency 5 2 2 3 2 4 3" xfId="5885" xr:uid="{00000000-0005-0000-0000-0000D30B0000}"/>
    <cellStyle name="Currency 5 2 2 3 2 4 3 2" xfId="14335" xr:uid="{F7CC37C4-6C92-40D6-9334-875F0086A077}"/>
    <cellStyle name="Currency 5 2 2 3 2 4 3 3" xfId="22775" xr:uid="{83E38F1A-A8AC-4D2E-8F42-FA372C12CD3E}"/>
    <cellStyle name="Currency 5 2 2 3 2 4 4" xfId="10117" xr:uid="{CE3D41F1-B815-465C-A9B8-BF3E155C9A58}"/>
    <cellStyle name="Currency 5 2 2 3 2 4 5" xfId="18558" xr:uid="{D96D1A8F-9F3E-4C49-945F-7A3BD603115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CB530115-3921-4075-B2F1-640237BA9183}"/>
    <cellStyle name="Currency 5 2 2 3 2 5 2 2 3" xfId="25333" xr:uid="{A92E8009-2A0D-44A7-ABBE-1C05332A43D8}"/>
    <cellStyle name="Currency 5 2 2 3 2 5 2 3" xfId="12675" xr:uid="{793583EB-EA57-48F7-AC3F-3B9C6840F6F7}"/>
    <cellStyle name="Currency 5 2 2 3 2 5 2 4" xfId="21116" xr:uid="{21C38409-01F5-4DEE-A24B-38F30D2F3B7A}"/>
    <cellStyle name="Currency 5 2 2 3 2 5 3" xfId="6298" xr:uid="{00000000-0005-0000-0000-0000D70B0000}"/>
    <cellStyle name="Currency 5 2 2 3 2 5 3 2" xfId="14748" xr:uid="{79D512E8-079F-4A29-9EA7-43F87F199227}"/>
    <cellStyle name="Currency 5 2 2 3 2 5 3 3" xfId="23188" xr:uid="{0F4A744F-68B8-4C7A-B4B1-4029F92B56BC}"/>
    <cellStyle name="Currency 5 2 2 3 2 5 4" xfId="10530" xr:uid="{833489DF-399E-42AA-A45E-5B956C44434E}"/>
    <cellStyle name="Currency 5 2 2 3 2 5 5" xfId="18971" xr:uid="{DBA12CD4-7DD8-483B-9D03-C18085E486B4}"/>
    <cellStyle name="Currency 5 2 2 3 2 6" xfId="2427" xr:uid="{00000000-0005-0000-0000-0000D80B0000}"/>
    <cellStyle name="Currency 5 2 2 3 2 6 2" xfId="6711" xr:uid="{00000000-0005-0000-0000-0000D90B0000}"/>
    <cellStyle name="Currency 5 2 2 3 2 6 2 2" xfId="15161" xr:uid="{E4BF96B1-4915-467C-A89D-53EB8E3A5DD7}"/>
    <cellStyle name="Currency 5 2 2 3 2 6 2 3" xfId="23601" xr:uid="{88BDDD51-7D9E-49E2-BAA6-266001F0B185}"/>
    <cellStyle name="Currency 5 2 2 3 2 6 3" xfId="10943" xr:uid="{6241A242-F960-4550-B8AF-0EA54FBA0724}"/>
    <cellStyle name="Currency 5 2 2 3 2 6 4" xfId="19384" xr:uid="{1C6F6818-5216-47F2-8959-4FBE1D34E49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FF92C0DE-9759-495A-8E2E-499E40FD23B9}"/>
    <cellStyle name="Currency 5 2 2 3 2 8 2 3" xfId="23918" xr:uid="{669605B5-E6E2-4BD0-A879-C1E9007C315C}"/>
    <cellStyle name="Currency 5 2 2 3 2 8 3" xfId="11260" xr:uid="{A472A4A9-09AD-47F0-8DF7-12C0AB664377}"/>
    <cellStyle name="Currency 5 2 2 3 2 8 4" xfId="19701" xr:uid="{E45218CB-BE5B-4A92-ACE0-400060863452}"/>
    <cellStyle name="Currency 5 2 2 3 2 9" xfId="4645" xr:uid="{00000000-0005-0000-0000-0000DD0B0000}"/>
    <cellStyle name="Currency 5 2 2 3 2 9 2" xfId="13095" xr:uid="{160F2B53-16EE-4323-8C6F-462A4F65D74E}"/>
    <cellStyle name="Currency 5 2 2 3 2 9 3" xfId="21535" xr:uid="{D93FAC29-8B9B-4940-8D08-CA58C9A7F53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6373455C-64D8-42D4-9129-51A0669177FF}"/>
    <cellStyle name="Currency 5 2 2 3 3 2 2 3" xfId="24093" xr:uid="{3A866071-5797-466B-B2D3-0A1EC9A21B47}"/>
    <cellStyle name="Currency 5 2 2 3 3 2 3" xfId="11435" xr:uid="{32372A4E-D7F9-4CA6-BE3A-80C3E019F3B8}"/>
    <cellStyle name="Currency 5 2 2 3 3 2 4" xfId="19876" xr:uid="{4F7FF660-1238-45C2-8DB9-DDA88677E5AF}"/>
    <cellStyle name="Currency 5 2 2 3 3 3" xfId="5058" xr:uid="{00000000-0005-0000-0000-0000E10B0000}"/>
    <cellStyle name="Currency 5 2 2 3 3 3 2" xfId="13508" xr:uid="{D15F08BF-A5F4-42F4-8444-8B0F8FC7617B}"/>
    <cellStyle name="Currency 5 2 2 3 3 3 3" xfId="21948" xr:uid="{FDDF91EB-BAEE-4069-81DB-7AA308616252}"/>
    <cellStyle name="Currency 5 2 2 3 3 4" xfId="9290" xr:uid="{CED11B01-0D0C-4FE6-828B-552CF6C5EBB0}"/>
    <cellStyle name="Currency 5 2 2 3 3 5" xfId="17731" xr:uid="{8018C079-5B3C-432A-9BBF-FBAA75A2EA87}"/>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73A24718-660C-432F-8B25-90192A30F428}"/>
    <cellStyle name="Currency 5 2 2 3 4 2 2 3" xfId="24506" xr:uid="{A12C95B1-7CB8-4181-8C0E-9C9E01801E83}"/>
    <cellStyle name="Currency 5 2 2 3 4 2 3" xfId="11848" xr:uid="{80127AA4-AC43-4687-9B44-91913A9BF973}"/>
    <cellStyle name="Currency 5 2 2 3 4 2 4" xfId="20289" xr:uid="{BBA8C132-8BED-4135-ACE2-462E36BDC5FA}"/>
    <cellStyle name="Currency 5 2 2 3 4 3" xfId="5471" xr:uid="{00000000-0005-0000-0000-0000E50B0000}"/>
    <cellStyle name="Currency 5 2 2 3 4 3 2" xfId="13921" xr:uid="{6A179CF5-5C32-40AC-BB66-18FDE8C25299}"/>
    <cellStyle name="Currency 5 2 2 3 4 3 3" xfId="22361" xr:uid="{F504EA79-44AA-423C-A876-EC853C58C69D}"/>
    <cellStyle name="Currency 5 2 2 3 4 4" xfId="9703" xr:uid="{1244DCBE-2123-4217-8340-421CAD7C5FF5}"/>
    <cellStyle name="Currency 5 2 2 3 4 5" xfId="18144" xr:uid="{1A8F5E2C-C7EA-48CA-9BF8-A7F2895EDFC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FBC42BBF-5791-4D00-8410-03B87624A0F3}"/>
    <cellStyle name="Currency 5 2 2 3 5 2 2 3" xfId="24919" xr:uid="{74BCCA26-B7A8-4E35-82E7-D4C06EFB4A54}"/>
    <cellStyle name="Currency 5 2 2 3 5 2 3" xfId="12261" xr:uid="{2E89EC53-67E2-469B-A6A8-C7034C865DD4}"/>
    <cellStyle name="Currency 5 2 2 3 5 2 4" xfId="20702" xr:uid="{67444D8D-A7B1-4856-B531-C70A09C20ACA}"/>
    <cellStyle name="Currency 5 2 2 3 5 3" xfId="5884" xr:uid="{00000000-0005-0000-0000-0000E90B0000}"/>
    <cellStyle name="Currency 5 2 2 3 5 3 2" xfId="14334" xr:uid="{021240FF-5281-4AD5-9E08-A4D1DBDDC8CB}"/>
    <cellStyle name="Currency 5 2 2 3 5 3 3" xfId="22774" xr:uid="{46C0D5A9-0AE7-4732-9706-7216749759C0}"/>
    <cellStyle name="Currency 5 2 2 3 5 4" xfId="10116" xr:uid="{3692D441-ACF7-48B9-8A3F-457B4C4B212C}"/>
    <cellStyle name="Currency 5 2 2 3 5 5" xfId="18557" xr:uid="{873DC972-12AC-4C10-8FA9-BF8CFE1FC0D7}"/>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7B341E44-EEF7-41F9-BCB6-718D7825DFFE}"/>
    <cellStyle name="Currency 5 2 2 3 6 2 2 3" xfId="25332" xr:uid="{C48C2732-9C61-4400-ABCB-D0C1DD3F6A7E}"/>
    <cellStyle name="Currency 5 2 2 3 6 2 3" xfId="12674" xr:uid="{4F25850E-0C67-4C82-BB27-076E0FB8C9AF}"/>
    <cellStyle name="Currency 5 2 2 3 6 2 4" xfId="21115" xr:uid="{65CA9690-6B61-4204-8ED4-B3820DB0C12D}"/>
    <cellStyle name="Currency 5 2 2 3 6 3" xfId="6297" xr:uid="{00000000-0005-0000-0000-0000ED0B0000}"/>
    <cellStyle name="Currency 5 2 2 3 6 3 2" xfId="14747" xr:uid="{6C452D42-E50D-452C-9810-F9DC7106FA95}"/>
    <cellStyle name="Currency 5 2 2 3 6 3 3" xfId="23187" xr:uid="{AD812268-1A33-4E77-A149-E19D6A2CDBA4}"/>
    <cellStyle name="Currency 5 2 2 3 6 4" xfId="10529" xr:uid="{E2BB8F6E-13B8-413F-BCC7-AD25A4CBE0FD}"/>
    <cellStyle name="Currency 5 2 2 3 6 5" xfId="18970" xr:uid="{4BFC3404-28F5-4C6A-90AC-AD46067CF29C}"/>
    <cellStyle name="Currency 5 2 2 3 7" xfId="2426" xr:uid="{00000000-0005-0000-0000-0000EE0B0000}"/>
    <cellStyle name="Currency 5 2 2 3 7 2" xfId="6710" xr:uid="{00000000-0005-0000-0000-0000EF0B0000}"/>
    <cellStyle name="Currency 5 2 2 3 7 2 2" xfId="15160" xr:uid="{316EBEF0-BA41-441B-A65C-68BEE9622F17}"/>
    <cellStyle name="Currency 5 2 2 3 7 2 3" xfId="23600" xr:uid="{49740955-D99E-4392-AEFA-8E281454FEDF}"/>
    <cellStyle name="Currency 5 2 2 3 7 3" xfId="10942" xr:uid="{C10FA800-DF27-4B7F-929C-AAD5AE80F153}"/>
    <cellStyle name="Currency 5 2 2 3 7 4" xfId="19383" xr:uid="{331792F0-108F-4896-8CFD-4E85C015544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D96722CA-FC79-4810-86E0-7A7AF5E80B0E}"/>
    <cellStyle name="Currency 5 2 2 3 9 2 3" xfId="23917" xr:uid="{F20500B7-3B31-4969-8CFA-FAE385EB4DCA}"/>
    <cellStyle name="Currency 5 2 2 3 9 3" xfId="11259" xr:uid="{676A58B2-2628-4BBC-A586-0485AA025B6F}"/>
    <cellStyle name="Currency 5 2 2 3 9 4" xfId="19700" xr:uid="{01E3A18D-FD24-4C49-A9EF-B107FBA6C007}"/>
    <cellStyle name="Currency 5 2 2 4" xfId="202" xr:uid="{00000000-0005-0000-0000-0000F30B0000}"/>
    <cellStyle name="Currency 5 2 2 4 10" xfId="8878" xr:uid="{B835F066-9B9A-4C34-A368-81CDD2F5684C}"/>
    <cellStyle name="Currency 5 2 2 4 11" xfId="17319" xr:uid="{A0C78943-DB12-4E06-AE91-8E256345E36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B360326C-9360-46FC-9CD2-86EDB0073A67}"/>
    <cellStyle name="Currency 5 2 2 4 2 2 2 3" xfId="24095" xr:uid="{A6A3C959-13B3-4AE3-B46F-B3DB5B1C6223}"/>
    <cellStyle name="Currency 5 2 2 4 2 2 3" xfId="11437" xr:uid="{9F1598DF-BCDA-44F3-88F4-301BA25A08FD}"/>
    <cellStyle name="Currency 5 2 2 4 2 2 4" xfId="19878" xr:uid="{DA7AA5C2-C058-472A-AA32-63CECA2BF218}"/>
    <cellStyle name="Currency 5 2 2 4 2 3" xfId="5060" xr:uid="{00000000-0005-0000-0000-0000F70B0000}"/>
    <cellStyle name="Currency 5 2 2 4 2 3 2" xfId="13510" xr:uid="{915723CF-FC39-469F-B0BE-950389CF77C5}"/>
    <cellStyle name="Currency 5 2 2 4 2 3 3" xfId="21950" xr:uid="{567DBEAC-E44E-4C67-B8A5-ADEA60218B4B}"/>
    <cellStyle name="Currency 5 2 2 4 2 4" xfId="9292" xr:uid="{B6524394-BB30-4D5F-B827-560433C46936}"/>
    <cellStyle name="Currency 5 2 2 4 2 5" xfId="17733" xr:uid="{5396E36D-F7FD-4136-AC9D-A062166A42E4}"/>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51131C3A-330F-4D77-9433-C131AF80B317}"/>
    <cellStyle name="Currency 5 2 2 4 3 2 2 3" xfId="24508" xr:uid="{D2764909-6856-428A-A242-2871BCB4A9A7}"/>
    <cellStyle name="Currency 5 2 2 4 3 2 3" xfId="11850" xr:uid="{74D729C6-A61D-4F92-BE1E-879DA1CC1F41}"/>
    <cellStyle name="Currency 5 2 2 4 3 2 4" xfId="20291" xr:uid="{E5DD23D9-909E-4324-8619-82646FAF169D}"/>
    <cellStyle name="Currency 5 2 2 4 3 3" xfId="5473" xr:uid="{00000000-0005-0000-0000-0000FB0B0000}"/>
    <cellStyle name="Currency 5 2 2 4 3 3 2" xfId="13923" xr:uid="{808EAD68-B4ED-420D-9738-2B56CFFA8F23}"/>
    <cellStyle name="Currency 5 2 2 4 3 3 3" xfId="22363" xr:uid="{0B2E7388-50D4-4AF6-AF42-E5F4B3BC94A1}"/>
    <cellStyle name="Currency 5 2 2 4 3 4" xfId="9705" xr:uid="{E8C9FBF8-BCBA-4BD3-BBD0-24EDB3633036}"/>
    <cellStyle name="Currency 5 2 2 4 3 5" xfId="18146" xr:uid="{EAA9647C-87F2-46E9-BFE6-95263B809A6D}"/>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130C2A5C-8032-4D3D-AF99-2343B00F4BEB}"/>
    <cellStyle name="Currency 5 2 2 4 4 2 2 3" xfId="24921" xr:uid="{AA11FB71-2EE6-4EE7-9C8A-002A96695B93}"/>
    <cellStyle name="Currency 5 2 2 4 4 2 3" xfId="12263" xr:uid="{11E6D9C4-1899-487B-AC25-298F2A46234B}"/>
    <cellStyle name="Currency 5 2 2 4 4 2 4" xfId="20704" xr:uid="{7065CE47-331F-4438-BC0A-E14D65508DAB}"/>
    <cellStyle name="Currency 5 2 2 4 4 3" xfId="5886" xr:uid="{00000000-0005-0000-0000-0000FF0B0000}"/>
    <cellStyle name="Currency 5 2 2 4 4 3 2" xfId="14336" xr:uid="{3F99E22D-5FCD-4193-80A6-8B822E7851C4}"/>
    <cellStyle name="Currency 5 2 2 4 4 3 3" xfId="22776" xr:uid="{D4CE403E-0DB2-46F3-B331-468792D8F528}"/>
    <cellStyle name="Currency 5 2 2 4 4 4" xfId="10118" xr:uid="{5DF46C1F-0B39-409B-9DE1-5D3C9132D49F}"/>
    <cellStyle name="Currency 5 2 2 4 4 5" xfId="18559" xr:uid="{0656D8E6-8686-4AA1-9513-0C1260626D0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D0487C66-0E20-47EB-BDA8-0F5C929A32AC}"/>
    <cellStyle name="Currency 5 2 2 4 5 2 2 3" xfId="25334" xr:uid="{EE1FD250-7D78-4E48-B507-990D1E4AFBF5}"/>
    <cellStyle name="Currency 5 2 2 4 5 2 3" xfId="12676" xr:uid="{ABEA4DB5-49C3-49E3-BEFE-135C10755864}"/>
    <cellStyle name="Currency 5 2 2 4 5 2 4" xfId="21117" xr:uid="{4CC3AF17-5C67-423F-B21D-162D982638EC}"/>
    <cellStyle name="Currency 5 2 2 4 5 3" xfId="6299" xr:uid="{00000000-0005-0000-0000-0000030C0000}"/>
    <cellStyle name="Currency 5 2 2 4 5 3 2" xfId="14749" xr:uid="{389692F8-4DD0-4299-80C3-8D1AF87904EB}"/>
    <cellStyle name="Currency 5 2 2 4 5 3 3" xfId="23189" xr:uid="{1B75DCF3-04BB-4486-AD68-FF0E64508002}"/>
    <cellStyle name="Currency 5 2 2 4 5 4" xfId="10531" xr:uid="{FC79DF07-B9D0-44C1-99A6-CF38ACB5981B}"/>
    <cellStyle name="Currency 5 2 2 4 5 5" xfId="18972" xr:uid="{8F68AF7E-535B-4170-9F8D-08D9A28AECFF}"/>
    <cellStyle name="Currency 5 2 2 4 6" xfId="2428" xr:uid="{00000000-0005-0000-0000-0000040C0000}"/>
    <cellStyle name="Currency 5 2 2 4 6 2" xfId="6712" xr:uid="{00000000-0005-0000-0000-0000050C0000}"/>
    <cellStyle name="Currency 5 2 2 4 6 2 2" xfId="15162" xr:uid="{8C70B950-CF90-4B16-AAF3-C4ECB9325DF0}"/>
    <cellStyle name="Currency 5 2 2 4 6 2 3" xfId="23602" xr:uid="{CDF3A968-F318-4479-A17B-083963BF2F5F}"/>
    <cellStyle name="Currency 5 2 2 4 6 3" xfId="10944" xr:uid="{705E3439-1900-4A09-8796-03625FBD62FA}"/>
    <cellStyle name="Currency 5 2 2 4 6 4" xfId="19385" xr:uid="{1835FFA2-E149-4E23-8C3F-6B109ABC97A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97F4F528-6D91-4099-8F5B-2CE21B54AA5B}"/>
    <cellStyle name="Currency 5 2 2 4 8 2 3" xfId="23919" xr:uid="{41E73ED1-C367-4461-8444-C362824D0154}"/>
    <cellStyle name="Currency 5 2 2 4 8 3" xfId="11261" xr:uid="{AE119BA7-2A5F-4F35-942E-6268CC047AF3}"/>
    <cellStyle name="Currency 5 2 2 4 8 4" xfId="19702" xr:uid="{A00AFBB4-2D59-40CB-822D-A63AB04C6252}"/>
    <cellStyle name="Currency 5 2 2 4 9" xfId="4646" xr:uid="{00000000-0005-0000-0000-0000090C0000}"/>
    <cellStyle name="Currency 5 2 2 4 9 2" xfId="13096" xr:uid="{D63C4C9A-4357-4CDB-8FE4-DF6E9B590092}"/>
    <cellStyle name="Currency 5 2 2 4 9 3" xfId="21536" xr:uid="{34C0A747-EE08-4498-AF17-F5927FB7661E}"/>
    <cellStyle name="Currency 5 2 2 5" xfId="203" xr:uid="{00000000-0005-0000-0000-00000A0C0000}"/>
    <cellStyle name="Currency 5 2 2 5 10" xfId="8879" xr:uid="{A6773F31-B1DE-451E-935E-D02FF34F82CC}"/>
    <cellStyle name="Currency 5 2 2 5 11" xfId="17320" xr:uid="{75842C91-71F1-4F3E-BCDC-6954880D0274}"/>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F00C2F4-3F60-45C9-85E5-D658D9367A27}"/>
    <cellStyle name="Currency 5 2 2 5 2 2 2 3" xfId="24096" xr:uid="{8AAA97AA-471F-485A-859F-06023AE20D6C}"/>
    <cellStyle name="Currency 5 2 2 5 2 2 3" xfId="11438" xr:uid="{073E2881-E461-438C-85C5-4757275D9A6F}"/>
    <cellStyle name="Currency 5 2 2 5 2 2 4" xfId="19879" xr:uid="{A743D8FB-20CE-46F1-B2D3-0F3FE9FFDB47}"/>
    <cellStyle name="Currency 5 2 2 5 2 3" xfId="5061" xr:uid="{00000000-0005-0000-0000-00000E0C0000}"/>
    <cellStyle name="Currency 5 2 2 5 2 3 2" xfId="13511" xr:uid="{0811FD8E-0E7A-4514-94F5-F35A932564EA}"/>
    <cellStyle name="Currency 5 2 2 5 2 3 3" xfId="21951" xr:uid="{DABA3A36-F334-4FE1-A60C-ABEF0E33275D}"/>
    <cellStyle name="Currency 5 2 2 5 2 4" xfId="9293" xr:uid="{53FE63BB-AB1B-460B-B7AC-82993A23E67E}"/>
    <cellStyle name="Currency 5 2 2 5 2 5" xfId="17734" xr:uid="{094AB47C-3588-4224-B352-1519C9B4096E}"/>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8E6C7259-ED88-4C4A-A212-192496620154}"/>
    <cellStyle name="Currency 5 2 2 5 3 2 2 3" xfId="24509" xr:uid="{918BB29D-53FB-4D7F-B4EE-47D1073A3143}"/>
    <cellStyle name="Currency 5 2 2 5 3 2 3" xfId="11851" xr:uid="{20ECAA89-D672-409B-BB2A-4CC3C5548190}"/>
    <cellStyle name="Currency 5 2 2 5 3 2 4" xfId="20292" xr:uid="{E09CA4F8-8E81-4F16-BCE6-634B9520D679}"/>
    <cellStyle name="Currency 5 2 2 5 3 3" xfId="5474" xr:uid="{00000000-0005-0000-0000-0000120C0000}"/>
    <cellStyle name="Currency 5 2 2 5 3 3 2" xfId="13924" xr:uid="{382180A0-FEE6-4832-9B39-E23A37EF7C2C}"/>
    <cellStyle name="Currency 5 2 2 5 3 3 3" xfId="22364" xr:uid="{079D0659-AE81-40BF-AD76-2775B1DD8D45}"/>
    <cellStyle name="Currency 5 2 2 5 3 4" xfId="9706" xr:uid="{3982C634-E3EC-4FC7-87B0-B2A18D454090}"/>
    <cellStyle name="Currency 5 2 2 5 3 5" xfId="18147" xr:uid="{7232A0CC-E4F5-485B-A333-3D2130FFC09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14D0F8FF-CF44-46F1-8B8A-67A36F329A11}"/>
    <cellStyle name="Currency 5 2 2 5 4 2 2 3" xfId="24922" xr:uid="{50F5211F-E278-46AB-9CF9-51C19C01E400}"/>
    <cellStyle name="Currency 5 2 2 5 4 2 3" xfId="12264" xr:uid="{008E98C8-C9F5-4C79-A24D-0D3DF040812A}"/>
    <cellStyle name="Currency 5 2 2 5 4 2 4" xfId="20705" xr:uid="{A18B3D10-32D0-4AB2-8A53-F978E0713332}"/>
    <cellStyle name="Currency 5 2 2 5 4 3" xfId="5887" xr:uid="{00000000-0005-0000-0000-0000160C0000}"/>
    <cellStyle name="Currency 5 2 2 5 4 3 2" xfId="14337" xr:uid="{F4D71E2A-2D6D-49F1-A577-146D9CEE0A82}"/>
    <cellStyle name="Currency 5 2 2 5 4 3 3" xfId="22777" xr:uid="{48A194F3-7300-4E0F-8BBF-8A63A5FEEC86}"/>
    <cellStyle name="Currency 5 2 2 5 4 4" xfId="10119" xr:uid="{4763A29B-94E4-40E1-AAA6-875E7FAE3478}"/>
    <cellStyle name="Currency 5 2 2 5 4 5" xfId="18560" xr:uid="{EB23F1D1-FE51-48AC-B637-FD9E73163E08}"/>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4E8C42E6-7FA7-41A6-9622-20F23AB1CF81}"/>
    <cellStyle name="Currency 5 2 2 5 5 2 2 3" xfId="25335" xr:uid="{13FD21AA-B21D-46A0-9602-0408711FDD4E}"/>
    <cellStyle name="Currency 5 2 2 5 5 2 3" xfId="12677" xr:uid="{23249868-BB7E-46A0-9ED9-90AB051DE22A}"/>
    <cellStyle name="Currency 5 2 2 5 5 2 4" xfId="21118" xr:uid="{0F64CFDB-83F5-4BD5-935C-39B444AAE9AB}"/>
    <cellStyle name="Currency 5 2 2 5 5 3" xfId="6300" xr:uid="{00000000-0005-0000-0000-00001A0C0000}"/>
    <cellStyle name="Currency 5 2 2 5 5 3 2" xfId="14750" xr:uid="{24EC1E60-C2DA-43A4-B35D-583F4FD46DFB}"/>
    <cellStyle name="Currency 5 2 2 5 5 3 3" xfId="23190" xr:uid="{286834C7-3BFA-40F5-9984-3564E4F9DEA6}"/>
    <cellStyle name="Currency 5 2 2 5 5 4" xfId="10532" xr:uid="{B00652E9-33FC-4C8D-BCC8-45C08EA05934}"/>
    <cellStyle name="Currency 5 2 2 5 5 5" xfId="18973" xr:uid="{35BB8A1C-42D4-43D7-82A4-A8254DA1BC3E}"/>
    <cellStyle name="Currency 5 2 2 5 6" xfId="2429" xr:uid="{00000000-0005-0000-0000-00001B0C0000}"/>
    <cellStyle name="Currency 5 2 2 5 6 2" xfId="6713" xr:uid="{00000000-0005-0000-0000-00001C0C0000}"/>
    <cellStyle name="Currency 5 2 2 5 6 2 2" xfId="15163" xr:uid="{5580CACC-A038-432D-AA96-3E574E08B03D}"/>
    <cellStyle name="Currency 5 2 2 5 6 2 3" xfId="23603" xr:uid="{B8D6B8E9-4698-4E8D-94AF-41FC012DF96A}"/>
    <cellStyle name="Currency 5 2 2 5 6 3" xfId="10945" xr:uid="{F416DEE5-5F71-437F-B3CB-6A8DEBA72CE6}"/>
    <cellStyle name="Currency 5 2 2 5 6 4" xfId="19386" xr:uid="{2E632A0A-BAF6-4DF8-8D56-5B27953AD24C}"/>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46CFC3D5-D4EB-41E7-8134-6B44C59391B0}"/>
    <cellStyle name="Currency 5 2 2 5 8 2 3" xfId="23920" xr:uid="{1C1CDE24-6504-4FBF-9E69-39B65866F491}"/>
    <cellStyle name="Currency 5 2 2 5 8 3" xfId="11262" xr:uid="{9A8E7C72-C50D-42AD-A7F7-4E182F0220A7}"/>
    <cellStyle name="Currency 5 2 2 5 8 4" xfId="19703" xr:uid="{73AC60B0-4E2F-4BFF-B5FF-EA529B2422A5}"/>
    <cellStyle name="Currency 5 2 2 5 9" xfId="4647" xr:uid="{00000000-0005-0000-0000-0000200C0000}"/>
    <cellStyle name="Currency 5 2 2 5 9 2" xfId="13097" xr:uid="{4F0D0360-0B13-48E8-935A-37DD5746D838}"/>
    <cellStyle name="Currency 5 2 2 5 9 3" xfId="21537" xr:uid="{612A921E-535A-4922-A375-F5366DFC814F}"/>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E43C858D-A3A6-427D-AFE5-2C184CA1CD6F}"/>
    <cellStyle name="Currency 5 2 4 10 3" xfId="21538" xr:uid="{9C150FDB-A2EA-4D74-AEC9-3947F8A09C1C}"/>
    <cellStyle name="Currency 5 2 4 11" xfId="8880" xr:uid="{E18D4422-78B1-4754-8CCE-F29222FCF1C3}"/>
    <cellStyle name="Currency 5 2 4 12" xfId="17321" xr:uid="{5E5A6638-111E-4F7A-930A-96615E9C728C}"/>
    <cellStyle name="Currency 5 2 4 2" xfId="206" xr:uid="{00000000-0005-0000-0000-0000250C0000}"/>
    <cellStyle name="Currency 5 2 4 2 10" xfId="8881" xr:uid="{BC643780-5654-4B37-B463-03FAE70EDDB8}"/>
    <cellStyle name="Currency 5 2 4 2 11" xfId="17322" xr:uid="{8565E45A-EC4C-4902-9B4E-3A4BAFCFE55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5ECDC9F0-9223-4C86-A94D-5C24051A0A9D}"/>
    <cellStyle name="Currency 5 2 4 2 2 2 2 3" xfId="24098" xr:uid="{DC5F5A15-B7C3-4E83-B9B5-9349EF50DB36}"/>
    <cellStyle name="Currency 5 2 4 2 2 2 3" xfId="11440" xr:uid="{D9471AD7-280E-413B-A871-C8D2E27DBD99}"/>
    <cellStyle name="Currency 5 2 4 2 2 2 4" xfId="19881" xr:uid="{1061E563-436F-43EE-B338-ED52944AE5D3}"/>
    <cellStyle name="Currency 5 2 4 2 2 3" xfId="5063" xr:uid="{00000000-0005-0000-0000-0000290C0000}"/>
    <cellStyle name="Currency 5 2 4 2 2 3 2" xfId="13513" xr:uid="{F00F0345-8F9A-42B6-B18E-A622CD7AFDD6}"/>
    <cellStyle name="Currency 5 2 4 2 2 3 3" xfId="21953" xr:uid="{0874BD60-5FD3-4F0E-A8C2-FD92128757FD}"/>
    <cellStyle name="Currency 5 2 4 2 2 4" xfId="9295" xr:uid="{7646C240-A621-4734-83A4-13F5649189A5}"/>
    <cellStyle name="Currency 5 2 4 2 2 5" xfId="17736" xr:uid="{CC58F8B9-AC87-4CEB-A2E4-ECF3D06503D4}"/>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94F1DF0C-B002-47DB-9A62-87B942057162}"/>
    <cellStyle name="Currency 5 2 4 2 3 2 2 3" xfId="24511" xr:uid="{91527FDA-F39E-4893-80DB-B176CE2F386B}"/>
    <cellStyle name="Currency 5 2 4 2 3 2 3" xfId="11853" xr:uid="{51E2D8AA-96E2-46AF-A806-616B1CE85444}"/>
    <cellStyle name="Currency 5 2 4 2 3 2 4" xfId="20294" xr:uid="{36D761A9-0D4C-498D-A043-117F31FAD6ED}"/>
    <cellStyle name="Currency 5 2 4 2 3 3" xfId="5476" xr:uid="{00000000-0005-0000-0000-00002D0C0000}"/>
    <cellStyle name="Currency 5 2 4 2 3 3 2" xfId="13926" xr:uid="{B26CA9F3-F99F-4C56-8453-6F0D41A8229F}"/>
    <cellStyle name="Currency 5 2 4 2 3 3 3" xfId="22366" xr:uid="{C1041D8E-BCAE-4B34-94D9-6A1827ED5325}"/>
    <cellStyle name="Currency 5 2 4 2 3 4" xfId="9708" xr:uid="{D752BCD2-D889-470F-BBBB-D820569E8725}"/>
    <cellStyle name="Currency 5 2 4 2 3 5" xfId="18149" xr:uid="{DA0D536A-D37E-4FC9-A0BE-A0B9E9033608}"/>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626A5100-D14A-4373-8791-D9B0ACB4FDE4}"/>
    <cellStyle name="Currency 5 2 4 2 4 2 2 3" xfId="24924" xr:uid="{44944E6A-26AF-4767-9C86-9835BA84B412}"/>
    <cellStyle name="Currency 5 2 4 2 4 2 3" xfId="12266" xr:uid="{111DAC77-24EF-44CB-8F28-668B5683B598}"/>
    <cellStyle name="Currency 5 2 4 2 4 2 4" xfId="20707" xr:uid="{D17507B7-78B3-4B03-A7E8-5DA08B1B5541}"/>
    <cellStyle name="Currency 5 2 4 2 4 3" xfId="5889" xr:uid="{00000000-0005-0000-0000-0000310C0000}"/>
    <cellStyle name="Currency 5 2 4 2 4 3 2" xfId="14339" xr:uid="{85781738-3B7B-409F-8EDA-F7E445063A53}"/>
    <cellStyle name="Currency 5 2 4 2 4 3 3" xfId="22779" xr:uid="{950DD6BE-C9CA-4727-8483-6720408CDF16}"/>
    <cellStyle name="Currency 5 2 4 2 4 4" xfId="10121" xr:uid="{D78FCAA0-608F-4A01-8E68-176AD4D54E97}"/>
    <cellStyle name="Currency 5 2 4 2 4 5" xfId="18562" xr:uid="{23E08B92-2019-4ED3-B595-D983EBC70159}"/>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CDBD2934-7A4C-43F4-8D7E-66CBCFECEB6F}"/>
    <cellStyle name="Currency 5 2 4 2 5 2 2 3" xfId="25337" xr:uid="{6E83DC62-F4ED-4B7C-9B13-F1930C566F4D}"/>
    <cellStyle name="Currency 5 2 4 2 5 2 3" xfId="12679" xr:uid="{202846D2-B4BC-4201-A406-A2A917F851A3}"/>
    <cellStyle name="Currency 5 2 4 2 5 2 4" xfId="21120" xr:uid="{2FB9C67E-1CF7-45AA-A496-EB04B29D04B3}"/>
    <cellStyle name="Currency 5 2 4 2 5 3" xfId="6302" xr:uid="{00000000-0005-0000-0000-0000350C0000}"/>
    <cellStyle name="Currency 5 2 4 2 5 3 2" xfId="14752" xr:uid="{104A8E81-62DE-4073-B111-0B7EBD1EC6F8}"/>
    <cellStyle name="Currency 5 2 4 2 5 3 3" xfId="23192" xr:uid="{0B007833-B322-43DD-A18D-DD8A5A944D3A}"/>
    <cellStyle name="Currency 5 2 4 2 5 4" xfId="10534" xr:uid="{8CEED009-D4B2-46FB-A68B-E50B15FF1240}"/>
    <cellStyle name="Currency 5 2 4 2 5 5" xfId="18975" xr:uid="{F998B695-6F07-4FC3-86AB-D4570CF99C88}"/>
    <cellStyle name="Currency 5 2 4 2 6" xfId="2431" xr:uid="{00000000-0005-0000-0000-0000360C0000}"/>
    <cellStyle name="Currency 5 2 4 2 6 2" xfId="6715" xr:uid="{00000000-0005-0000-0000-0000370C0000}"/>
    <cellStyle name="Currency 5 2 4 2 6 2 2" xfId="15165" xr:uid="{027A2B3E-434B-484F-B8D7-3E261EA41AB8}"/>
    <cellStyle name="Currency 5 2 4 2 6 2 3" xfId="23605" xr:uid="{627C0E3A-3CD8-40CD-9C4C-545C07504C2E}"/>
    <cellStyle name="Currency 5 2 4 2 6 3" xfId="10947" xr:uid="{0F87F02B-F5D2-4564-8C45-6BD463E0A7A4}"/>
    <cellStyle name="Currency 5 2 4 2 6 4" xfId="19388" xr:uid="{8E3218D2-7A9C-49D2-95A2-96255357361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EE3480E6-E544-4DFA-B589-2500695EC24B}"/>
    <cellStyle name="Currency 5 2 4 2 8 2 3" xfId="23922" xr:uid="{EAE89D5B-E885-4EBE-BA33-B6F5400B2BE0}"/>
    <cellStyle name="Currency 5 2 4 2 8 3" xfId="11264" xr:uid="{84535316-B372-420F-B349-86BEE66E1EFC}"/>
    <cellStyle name="Currency 5 2 4 2 8 4" xfId="19705" xr:uid="{34956E65-B2F4-4461-8E34-C446BE36843F}"/>
    <cellStyle name="Currency 5 2 4 2 9" xfId="4649" xr:uid="{00000000-0005-0000-0000-00003B0C0000}"/>
    <cellStyle name="Currency 5 2 4 2 9 2" xfId="13099" xr:uid="{22204C2D-DD73-46B0-97E5-B2C26D816986}"/>
    <cellStyle name="Currency 5 2 4 2 9 3" xfId="21539" xr:uid="{F53EE57A-4F64-418C-8329-3FA23B3E02CB}"/>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AAD79CC1-1ABD-4909-AC75-1BF31461F038}"/>
    <cellStyle name="Currency 5 2 4 3 2 2 3" xfId="24097" xr:uid="{0F5A531E-9C48-425C-8B8C-7B4AF7BC5487}"/>
    <cellStyle name="Currency 5 2 4 3 2 3" xfId="11439" xr:uid="{211D3801-D2A3-4246-8886-8C6ECA50490F}"/>
    <cellStyle name="Currency 5 2 4 3 2 4" xfId="19880" xr:uid="{3FDFC68E-46CA-42CD-8523-EA58E5102CD7}"/>
    <cellStyle name="Currency 5 2 4 3 3" xfId="5062" xr:uid="{00000000-0005-0000-0000-00003F0C0000}"/>
    <cellStyle name="Currency 5 2 4 3 3 2" xfId="13512" xr:uid="{9BAD30AA-02B7-4BEB-9980-91884AB673FD}"/>
    <cellStyle name="Currency 5 2 4 3 3 3" xfId="21952" xr:uid="{B8A4A4EB-9463-4E50-A4EA-5E0283DB69F2}"/>
    <cellStyle name="Currency 5 2 4 3 4" xfId="9294" xr:uid="{1B308471-2496-4578-8C38-5D7D9915148F}"/>
    <cellStyle name="Currency 5 2 4 3 5" xfId="17735" xr:uid="{FCA31DDC-B51F-483C-829A-4E845077DBC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E906C141-0B62-4BAC-B77F-C98FD417EE0E}"/>
    <cellStyle name="Currency 5 2 4 4 2 2 3" xfId="24510" xr:uid="{957F3C71-3AD4-441C-BD3D-05BA56F7594D}"/>
    <cellStyle name="Currency 5 2 4 4 2 3" xfId="11852" xr:uid="{E23077A7-959D-4EB1-8A87-20D7B74D36B5}"/>
    <cellStyle name="Currency 5 2 4 4 2 4" xfId="20293" xr:uid="{F081EB41-0ACB-4903-9FEF-86ABAF17B82E}"/>
    <cellStyle name="Currency 5 2 4 4 3" xfId="5475" xr:uid="{00000000-0005-0000-0000-0000430C0000}"/>
    <cellStyle name="Currency 5 2 4 4 3 2" xfId="13925" xr:uid="{5BD0112B-9AAF-4A87-9EEB-D2E8AF3860A6}"/>
    <cellStyle name="Currency 5 2 4 4 3 3" xfId="22365" xr:uid="{ACCFE11D-30E4-4E0A-BD54-14EBF3BCA2CD}"/>
    <cellStyle name="Currency 5 2 4 4 4" xfId="9707" xr:uid="{4618BFA2-68E1-4953-844D-531877318D00}"/>
    <cellStyle name="Currency 5 2 4 4 5" xfId="18148" xr:uid="{32599F2A-29AE-4466-B851-878F040B879E}"/>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93A95432-9C56-49DC-9A16-674DBA1C7229}"/>
    <cellStyle name="Currency 5 2 4 5 2 2 3" xfId="24923" xr:uid="{7694D698-8BF9-4A81-8215-28DADB20ED1B}"/>
    <cellStyle name="Currency 5 2 4 5 2 3" xfId="12265" xr:uid="{C7293DF5-9270-4966-B4D1-5E5FA82E7F10}"/>
    <cellStyle name="Currency 5 2 4 5 2 4" xfId="20706" xr:uid="{07ABDDF4-96D9-474B-B89D-382B81AF0822}"/>
    <cellStyle name="Currency 5 2 4 5 3" xfId="5888" xr:uid="{00000000-0005-0000-0000-0000470C0000}"/>
    <cellStyle name="Currency 5 2 4 5 3 2" xfId="14338" xr:uid="{2DF40BDC-8A21-489C-8AC4-BCD6C42072C7}"/>
    <cellStyle name="Currency 5 2 4 5 3 3" xfId="22778" xr:uid="{64B929F6-D675-46B2-BF8D-64B2129CFE93}"/>
    <cellStyle name="Currency 5 2 4 5 4" xfId="10120" xr:uid="{A9F220F4-F766-4BAE-A714-E9421BFE86E8}"/>
    <cellStyle name="Currency 5 2 4 5 5" xfId="18561" xr:uid="{1E70CB65-8CC3-4925-97AA-2F0288423DE0}"/>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BFDC3A00-5A35-4879-BBE1-E569A608C8E4}"/>
    <cellStyle name="Currency 5 2 4 6 2 2 3" xfId="25336" xr:uid="{CA8A9134-08E4-4B44-B649-FF3EB1B8080A}"/>
    <cellStyle name="Currency 5 2 4 6 2 3" xfId="12678" xr:uid="{C67DA6E6-32C2-41B4-B3B8-568BFD0D881C}"/>
    <cellStyle name="Currency 5 2 4 6 2 4" xfId="21119" xr:uid="{E07ABCFE-FA51-4671-8EED-F707D68CABEF}"/>
    <cellStyle name="Currency 5 2 4 6 3" xfId="6301" xr:uid="{00000000-0005-0000-0000-00004B0C0000}"/>
    <cellStyle name="Currency 5 2 4 6 3 2" xfId="14751" xr:uid="{E5648B14-5C88-443E-AB46-1DD61B6B7002}"/>
    <cellStyle name="Currency 5 2 4 6 3 3" xfId="23191" xr:uid="{32C5D114-B137-4497-B059-5AFE5C68676A}"/>
    <cellStyle name="Currency 5 2 4 6 4" xfId="10533" xr:uid="{381860D1-13F6-4CC9-A9B1-94F09706B2E5}"/>
    <cellStyle name="Currency 5 2 4 6 5" xfId="18974" xr:uid="{F5A398A9-313B-476A-A432-439B80850020}"/>
    <cellStyle name="Currency 5 2 4 7" xfId="2430" xr:uid="{00000000-0005-0000-0000-00004C0C0000}"/>
    <cellStyle name="Currency 5 2 4 7 2" xfId="6714" xr:uid="{00000000-0005-0000-0000-00004D0C0000}"/>
    <cellStyle name="Currency 5 2 4 7 2 2" xfId="15164" xr:uid="{AE0DDBB9-1EAF-43C3-A896-460D94F0EA48}"/>
    <cellStyle name="Currency 5 2 4 7 2 3" xfId="23604" xr:uid="{D23B4EC2-998F-4DD2-A42C-CF749BB0F3F5}"/>
    <cellStyle name="Currency 5 2 4 7 3" xfId="10946" xr:uid="{95162039-F06B-4E71-BE12-BFA13147F31E}"/>
    <cellStyle name="Currency 5 2 4 7 4" xfId="19387" xr:uid="{6ADE6D47-0287-4E74-88FF-DBDFCF59BFC9}"/>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FB41BAD3-9166-483B-BA65-FB3574930C4B}"/>
    <cellStyle name="Currency 5 2 4 9 2 3" xfId="23921" xr:uid="{5DE7B67D-D377-4DA5-868D-967B124B8B2A}"/>
    <cellStyle name="Currency 5 2 4 9 3" xfId="11263" xr:uid="{BCF7DB34-D14E-425F-9AFF-0E27D0372EF9}"/>
    <cellStyle name="Currency 5 2 4 9 4" xfId="19704" xr:uid="{2B9C2D6C-5C9A-4474-85D7-9D4A22788744}"/>
    <cellStyle name="Currency 5 2 5" xfId="207" xr:uid="{00000000-0005-0000-0000-0000510C0000}"/>
    <cellStyle name="Currency 5 2 5 10" xfId="8882" xr:uid="{92D0EF55-8B60-4204-AFE3-DA7E64EB48A8}"/>
    <cellStyle name="Currency 5 2 5 11" xfId="17323" xr:uid="{3CAB8C16-DE6D-471F-8EE3-B321E355F01D}"/>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1CC37B5E-00A5-45DE-AD80-9CB9E92A37FC}"/>
    <cellStyle name="Currency 5 2 5 2 2 2 3" xfId="24099" xr:uid="{B67A9EDE-7968-4FEC-8360-E225176A70A4}"/>
    <cellStyle name="Currency 5 2 5 2 2 3" xfId="11441" xr:uid="{A83EA3CD-0D34-4148-A914-ABBC0352ED78}"/>
    <cellStyle name="Currency 5 2 5 2 2 4" xfId="19882" xr:uid="{8A24721E-5EC7-4506-877D-EAF22F98B6D5}"/>
    <cellStyle name="Currency 5 2 5 2 3" xfId="5064" xr:uid="{00000000-0005-0000-0000-0000550C0000}"/>
    <cellStyle name="Currency 5 2 5 2 3 2" xfId="13514" xr:uid="{EF8C128F-2DA9-46F3-9D13-EE2411BF49C9}"/>
    <cellStyle name="Currency 5 2 5 2 3 3" xfId="21954" xr:uid="{33E09E0E-E533-4090-9B7A-3FD4FF741A34}"/>
    <cellStyle name="Currency 5 2 5 2 4" xfId="9296" xr:uid="{831C6240-D5CA-4EA9-ADCE-F93EB3CF3D5C}"/>
    <cellStyle name="Currency 5 2 5 2 5" xfId="17737" xr:uid="{C2D7DE2B-F231-4DE3-9352-A5CF10814E8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6F99A577-E3B4-4D2D-9FF1-51CFF001323D}"/>
    <cellStyle name="Currency 5 2 5 3 2 2 3" xfId="24512" xr:uid="{64DE0900-6A28-4866-81E6-32F5B3235D20}"/>
    <cellStyle name="Currency 5 2 5 3 2 3" xfId="11854" xr:uid="{7FB5B75E-CC84-4BBB-996A-B7FAF9788DB5}"/>
    <cellStyle name="Currency 5 2 5 3 2 4" xfId="20295" xr:uid="{FB8E2139-9DE6-4097-9796-2EA2AE33F1BC}"/>
    <cellStyle name="Currency 5 2 5 3 3" xfId="5477" xr:uid="{00000000-0005-0000-0000-0000590C0000}"/>
    <cellStyle name="Currency 5 2 5 3 3 2" xfId="13927" xr:uid="{6FA7D67A-0853-4687-B3CE-2BFA626E2C23}"/>
    <cellStyle name="Currency 5 2 5 3 3 3" xfId="22367" xr:uid="{7EF1337C-88CE-4EED-9ECC-B7EAE263F78E}"/>
    <cellStyle name="Currency 5 2 5 3 4" xfId="9709" xr:uid="{BFDC3A7B-DCE1-48DC-83B3-7C9F0FD23F7A}"/>
    <cellStyle name="Currency 5 2 5 3 5" xfId="18150" xr:uid="{D76F9D5B-51DF-4E21-B954-894E9367CC68}"/>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C9512C39-FC80-4D1B-9841-43FE473FC697}"/>
    <cellStyle name="Currency 5 2 5 4 2 2 3" xfId="24925" xr:uid="{D9C1EB7C-74A7-4F03-9ECD-F7550876F6C9}"/>
    <cellStyle name="Currency 5 2 5 4 2 3" xfId="12267" xr:uid="{D895C191-8902-492E-BBA4-FE0BEA5D8E87}"/>
    <cellStyle name="Currency 5 2 5 4 2 4" xfId="20708" xr:uid="{F46C5238-92AE-4AAC-8772-698600F38E40}"/>
    <cellStyle name="Currency 5 2 5 4 3" xfId="5890" xr:uid="{00000000-0005-0000-0000-00005D0C0000}"/>
    <cellStyle name="Currency 5 2 5 4 3 2" xfId="14340" xr:uid="{367A5FB5-0466-4374-8ADD-E2A5E1090220}"/>
    <cellStyle name="Currency 5 2 5 4 3 3" xfId="22780" xr:uid="{8C50537D-88A1-4EEB-951C-0C91051F36BB}"/>
    <cellStyle name="Currency 5 2 5 4 4" xfId="10122" xr:uid="{303C8273-34EF-4F36-851D-D63A46DD68A2}"/>
    <cellStyle name="Currency 5 2 5 4 5" xfId="18563" xr:uid="{C8121DDE-49AE-4F79-8B0B-38CF02C02E6E}"/>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9FCB06C2-D1B6-4AF2-A971-B58C52B670C1}"/>
    <cellStyle name="Currency 5 2 5 5 2 2 3" xfId="25338" xr:uid="{735BAE43-3BCD-487A-9D05-C1B9D2BF910B}"/>
    <cellStyle name="Currency 5 2 5 5 2 3" xfId="12680" xr:uid="{4A476D59-0081-4251-9355-45400D0E6251}"/>
    <cellStyle name="Currency 5 2 5 5 2 4" xfId="21121" xr:uid="{A28F27E3-3137-4A73-95F8-932A73A76402}"/>
    <cellStyle name="Currency 5 2 5 5 3" xfId="6303" xr:uid="{00000000-0005-0000-0000-0000610C0000}"/>
    <cellStyle name="Currency 5 2 5 5 3 2" xfId="14753" xr:uid="{5F476870-1FE0-4DFA-B8D8-04D1C9CA8491}"/>
    <cellStyle name="Currency 5 2 5 5 3 3" xfId="23193" xr:uid="{633FBC5D-0FD9-4039-B128-F54980332F36}"/>
    <cellStyle name="Currency 5 2 5 5 4" xfId="10535" xr:uid="{F68D185C-45BF-4D52-929D-2E6065215F48}"/>
    <cellStyle name="Currency 5 2 5 5 5" xfId="18976" xr:uid="{233C4DD3-A528-46A1-8E98-8F715821A3FC}"/>
    <cellStyle name="Currency 5 2 5 6" xfId="2432" xr:uid="{00000000-0005-0000-0000-0000620C0000}"/>
    <cellStyle name="Currency 5 2 5 6 2" xfId="6716" xr:uid="{00000000-0005-0000-0000-0000630C0000}"/>
    <cellStyle name="Currency 5 2 5 6 2 2" xfId="15166" xr:uid="{811A0E4B-2573-40DA-BB27-12B4AC2241A6}"/>
    <cellStyle name="Currency 5 2 5 6 2 3" xfId="23606" xr:uid="{E0C33DE3-E30A-4239-88D0-2F453E59246A}"/>
    <cellStyle name="Currency 5 2 5 6 3" xfId="10948" xr:uid="{2050DE34-6C6E-4F3B-BE43-5003696F5710}"/>
    <cellStyle name="Currency 5 2 5 6 4" xfId="19389" xr:uid="{2EDD75F2-7A6D-4525-B6A2-7BDF51C8187C}"/>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7E3E0111-3C6C-4E0E-B698-74C8B0D18373}"/>
    <cellStyle name="Currency 5 2 5 8 2 3" xfId="23923" xr:uid="{2A2A0AFB-8826-45BD-BA1D-4FEDBD3A1DAB}"/>
    <cellStyle name="Currency 5 2 5 8 3" xfId="11265" xr:uid="{484C521F-9690-4FF8-BFFA-2AF70B4C5D45}"/>
    <cellStyle name="Currency 5 2 5 8 4" xfId="19706" xr:uid="{B16E0EC9-ACC5-4058-A20B-8C2E958816A2}"/>
    <cellStyle name="Currency 5 2 5 9" xfId="4650" xr:uid="{00000000-0005-0000-0000-0000670C0000}"/>
    <cellStyle name="Currency 5 2 5 9 2" xfId="13100" xr:uid="{3287CBF4-036D-41C0-B64D-A68430B7C1F5}"/>
    <cellStyle name="Currency 5 2 5 9 3" xfId="21540" xr:uid="{69DF2B51-C4A8-476C-908C-4F21B6468776}"/>
    <cellStyle name="Currency 5 2 6" xfId="208" xr:uid="{00000000-0005-0000-0000-0000680C0000}"/>
    <cellStyle name="Currency 5 2 6 10" xfId="8883" xr:uid="{C1C8F255-EEA7-4B2A-905F-245F04972DAA}"/>
    <cellStyle name="Currency 5 2 6 11" xfId="17324" xr:uid="{3C8EC233-5798-46BC-831A-63F980EEB0B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1EF1D554-8966-4CEC-A246-B14CB60CE038}"/>
    <cellStyle name="Currency 5 2 6 2 2 2 3" xfId="24100" xr:uid="{87FDE17A-3658-4ADD-A92E-B5F9A74D91C9}"/>
    <cellStyle name="Currency 5 2 6 2 2 3" xfId="11442" xr:uid="{F3C34429-7FC1-4144-A37C-4D8D7E70FF1E}"/>
    <cellStyle name="Currency 5 2 6 2 2 4" xfId="19883" xr:uid="{E07301E6-0744-453A-9AE0-2CE29C2B04FD}"/>
    <cellStyle name="Currency 5 2 6 2 3" xfId="5065" xr:uid="{00000000-0005-0000-0000-00006C0C0000}"/>
    <cellStyle name="Currency 5 2 6 2 3 2" xfId="13515" xr:uid="{F6009763-928C-49D3-8911-FF0676FB048A}"/>
    <cellStyle name="Currency 5 2 6 2 3 3" xfId="21955" xr:uid="{50F8D1E3-E769-4F1A-B4E0-BCA021109A86}"/>
    <cellStyle name="Currency 5 2 6 2 4" xfId="9297" xr:uid="{24424AB4-72A4-479E-A2F3-8BC8300EF12A}"/>
    <cellStyle name="Currency 5 2 6 2 5" xfId="17738" xr:uid="{50FD92F9-A51B-424D-B0F5-01624338B361}"/>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1D54C3D2-524E-4E71-87CC-C4D818FBE469}"/>
    <cellStyle name="Currency 5 2 6 3 2 2 3" xfId="24513" xr:uid="{15C55E39-E537-4F2C-82F1-158157B1A86A}"/>
    <cellStyle name="Currency 5 2 6 3 2 3" xfId="11855" xr:uid="{B20451E4-7B88-4960-BAB0-B7C8C871D3AA}"/>
    <cellStyle name="Currency 5 2 6 3 2 4" xfId="20296" xr:uid="{00B90FBC-E52A-4604-8B69-1647E6D4A939}"/>
    <cellStyle name="Currency 5 2 6 3 3" xfId="5478" xr:uid="{00000000-0005-0000-0000-0000700C0000}"/>
    <cellStyle name="Currency 5 2 6 3 3 2" xfId="13928" xr:uid="{5C2FF736-971C-4999-BC14-6849DCD893BD}"/>
    <cellStyle name="Currency 5 2 6 3 3 3" xfId="22368" xr:uid="{63E52CBC-DB72-4CE3-A227-E638ACF86F50}"/>
    <cellStyle name="Currency 5 2 6 3 4" xfId="9710" xr:uid="{9991B0AA-5FCD-4939-8B8B-D10AB1218FC7}"/>
    <cellStyle name="Currency 5 2 6 3 5" xfId="18151" xr:uid="{DDFB6275-BA98-4A76-9D57-DA4E77649A92}"/>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CF3ED43E-CE14-4C3D-910F-76F363C1F98F}"/>
    <cellStyle name="Currency 5 2 6 4 2 2 3" xfId="24926" xr:uid="{4EE250D5-8C76-4535-B335-557C40E3F2A3}"/>
    <cellStyle name="Currency 5 2 6 4 2 3" xfId="12268" xr:uid="{AC6B6BE4-DE61-4A6B-B9C1-4DF6AE0507CD}"/>
    <cellStyle name="Currency 5 2 6 4 2 4" xfId="20709" xr:uid="{E2FBDA5A-579F-4B11-8E9C-6B877A69B10C}"/>
    <cellStyle name="Currency 5 2 6 4 3" xfId="5891" xr:uid="{00000000-0005-0000-0000-0000740C0000}"/>
    <cellStyle name="Currency 5 2 6 4 3 2" xfId="14341" xr:uid="{E45A6254-6001-436E-A9EC-F3AA42E44419}"/>
    <cellStyle name="Currency 5 2 6 4 3 3" xfId="22781" xr:uid="{494970EE-78A9-4C35-8B42-7EE8F08CF1DF}"/>
    <cellStyle name="Currency 5 2 6 4 4" xfId="10123" xr:uid="{22DB35AD-1295-4836-A663-D7A657E135D9}"/>
    <cellStyle name="Currency 5 2 6 4 5" xfId="18564" xr:uid="{FF274DC5-BB4E-4B2F-B3A4-DE3DBDF7EF2B}"/>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878342BE-FF9B-493C-B218-5AD0857BD1D9}"/>
    <cellStyle name="Currency 5 2 6 5 2 2 3" xfId="25339" xr:uid="{F9D8476F-3C1E-4A93-893D-2BE8A7E650CC}"/>
    <cellStyle name="Currency 5 2 6 5 2 3" xfId="12681" xr:uid="{46F01077-675E-4EBE-B105-353DDCE1CD9E}"/>
    <cellStyle name="Currency 5 2 6 5 2 4" xfId="21122" xr:uid="{091ED50A-2ABC-4339-B168-04D0783D2D35}"/>
    <cellStyle name="Currency 5 2 6 5 3" xfId="6304" xr:uid="{00000000-0005-0000-0000-0000780C0000}"/>
    <cellStyle name="Currency 5 2 6 5 3 2" xfId="14754" xr:uid="{C82B3374-5AFB-4643-ABC2-219AD34ACB87}"/>
    <cellStyle name="Currency 5 2 6 5 3 3" xfId="23194" xr:uid="{34F98FF9-FFAB-478F-B957-5594DEA5A6DC}"/>
    <cellStyle name="Currency 5 2 6 5 4" xfId="10536" xr:uid="{1455366C-73AE-4951-93B7-2C04CBA92E39}"/>
    <cellStyle name="Currency 5 2 6 5 5" xfId="18977" xr:uid="{7DB4B1E6-7C09-4CEE-96A6-914E52FCA15C}"/>
    <cellStyle name="Currency 5 2 6 6" xfId="2433" xr:uid="{00000000-0005-0000-0000-0000790C0000}"/>
    <cellStyle name="Currency 5 2 6 6 2" xfId="6717" xr:uid="{00000000-0005-0000-0000-00007A0C0000}"/>
    <cellStyle name="Currency 5 2 6 6 2 2" xfId="15167" xr:uid="{815EA972-4F3D-4382-A1F9-2DCF3958A1AA}"/>
    <cellStyle name="Currency 5 2 6 6 2 3" xfId="23607" xr:uid="{8F7657B4-EDA1-4239-9B61-774254803C1B}"/>
    <cellStyle name="Currency 5 2 6 6 3" xfId="10949" xr:uid="{FF80034A-E396-49AA-A3A9-8359B93B9C77}"/>
    <cellStyle name="Currency 5 2 6 6 4" xfId="19390" xr:uid="{CF3C75D7-93FB-4819-9F42-CE52395762A7}"/>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FED970D1-F6E0-49ED-B852-8C775B78BCB1}"/>
    <cellStyle name="Currency 5 2 6 8 2 3" xfId="23924" xr:uid="{27938528-8387-4785-9425-C4B29FDFAFE8}"/>
    <cellStyle name="Currency 5 2 6 8 3" xfId="11266" xr:uid="{4D02DCEC-5507-4799-9AF1-8D070991C2B4}"/>
    <cellStyle name="Currency 5 2 6 8 4" xfId="19707" xr:uid="{5B0C60B9-50AE-423C-A316-D9138B948172}"/>
    <cellStyle name="Currency 5 2 6 9" xfId="4651" xr:uid="{00000000-0005-0000-0000-00007E0C0000}"/>
    <cellStyle name="Currency 5 2 6 9 2" xfId="13101" xr:uid="{92304323-9AC5-4215-BACF-3321BC0E7570}"/>
    <cellStyle name="Currency 5 2 6 9 3" xfId="21541" xr:uid="{B72B3E6E-0F95-44CF-9E96-92C3384F7526}"/>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0BE3FBC7-380E-4826-9D40-DE06D0BE83A6}"/>
    <cellStyle name="Currency 5 3 2 10 2 3" xfId="23925" xr:uid="{61FAA13D-BCB0-4A70-9264-68C00D24E9D5}"/>
    <cellStyle name="Currency 5 3 2 10 3" xfId="11267" xr:uid="{27F7BFC9-8C94-4141-9243-08E086455BD7}"/>
    <cellStyle name="Currency 5 3 2 10 4" xfId="19708" xr:uid="{5621C39C-07E5-4D1F-B8F7-2A248DE7C235}"/>
    <cellStyle name="Currency 5 3 2 11" xfId="4652" xr:uid="{00000000-0005-0000-0000-0000840C0000}"/>
    <cellStyle name="Currency 5 3 2 11 2" xfId="13102" xr:uid="{F2809813-95B3-4E9E-98C8-BB45F33167B6}"/>
    <cellStyle name="Currency 5 3 2 11 3" xfId="21542" xr:uid="{A08C8DDE-3BB3-475D-BC79-E14B5C160E45}"/>
    <cellStyle name="Currency 5 3 2 12" xfId="8884" xr:uid="{4C7A5310-0531-4D21-A463-AFABDD4CBA1F}"/>
    <cellStyle name="Currency 5 3 2 13" xfId="17325" xr:uid="{DA208753-9017-493C-B551-EF99C1056429}"/>
    <cellStyle name="Currency 5 3 2 2" xfId="211" xr:uid="{00000000-0005-0000-0000-0000850C0000}"/>
    <cellStyle name="Currency 5 3 2 2 10" xfId="4653" xr:uid="{00000000-0005-0000-0000-0000860C0000}"/>
    <cellStyle name="Currency 5 3 2 2 10 2" xfId="13103" xr:uid="{B8DCA6B0-7BB4-4038-B066-46C5C62B2DF9}"/>
    <cellStyle name="Currency 5 3 2 2 10 3" xfId="21543" xr:uid="{DAA8F10D-3A89-4E11-AFB7-B3C148D9A20B}"/>
    <cellStyle name="Currency 5 3 2 2 11" xfId="8885" xr:uid="{8F2434FB-8578-42BE-A397-D8F2EBC27F44}"/>
    <cellStyle name="Currency 5 3 2 2 12" xfId="17326" xr:uid="{7F61A828-ECCA-4E2D-ACD2-BF2AB0260F90}"/>
    <cellStyle name="Currency 5 3 2 2 2" xfId="212" xr:uid="{00000000-0005-0000-0000-0000870C0000}"/>
    <cellStyle name="Currency 5 3 2 2 2 10" xfId="8886" xr:uid="{0DE1F8EF-2F98-42CD-9A07-70ECDF945B82}"/>
    <cellStyle name="Currency 5 3 2 2 2 11" xfId="17327" xr:uid="{BBF75CC2-1730-4D6D-AD0C-795378AD34E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3BAE44D1-5030-48FA-A427-50A570C311F7}"/>
    <cellStyle name="Currency 5 3 2 2 2 2 2 2 3" xfId="24103" xr:uid="{292936D4-ED49-4AC2-8322-DB57785B3416}"/>
    <cellStyle name="Currency 5 3 2 2 2 2 2 3" xfId="11445" xr:uid="{0284E958-683E-4C44-B7BD-B66C52845F8D}"/>
    <cellStyle name="Currency 5 3 2 2 2 2 2 4" xfId="19886" xr:uid="{EF055AAA-2E10-47E7-A4DB-5B68C1D5812A}"/>
    <cellStyle name="Currency 5 3 2 2 2 2 3" xfId="5068" xr:uid="{00000000-0005-0000-0000-00008B0C0000}"/>
    <cellStyle name="Currency 5 3 2 2 2 2 3 2" xfId="13518" xr:uid="{D8141556-5EFC-4A59-936C-64851E8227B0}"/>
    <cellStyle name="Currency 5 3 2 2 2 2 3 3" xfId="21958" xr:uid="{D41E9D8C-C475-4AB3-B59E-6F593189DE8A}"/>
    <cellStyle name="Currency 5 3 2 2 2 2 4" xfId="9300" xr:uid="{B3D66E67-707C-44D0-AB03-2F97784D0317}"/>
    <cellStyle name="Currency 5 3 2 2 2 2 5" xfId="17741" xr:uid="{B2CE3FE5-7CFC-45D3-B6DE-18F173B7A988}"/>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03D5156C-15C4-4F66-9F7B-1CC244299B57}"/>
    <cellStyle name="Currency 5 3 2 2 2 3 2 2 3" xfId="24516" xr:uid="{66258B7E-D714-4E52-A5FB-00BFE2843DCC}"/>
    <cellStyle name="Currency 5 3 2 2 2 3 2 3" xfId="11858" xr:uid="{BCF64CED-D8AD-47CC-BAED-9CC697C090CE}"/>
    <cellStyle name="Currency 5 3 2 2 2 3 2 4" xfId="20299" xr:uid="{BA47E886-0FC6-4CBF-8BD8-01B0743EC7CD}"/>
    <cellStyle name="Currency 5 3 2 2 2 3 3" xfId="5481" xr:uid="{00000000-0005-0000-0000-00008F0C0000}"/>
    <cellStyle name="Currency 5 3 2 2 2 3 3 2" xfId="13931" xr:uid="{C9140656-669F-4277-A8D1-82E0B2CF8F00}"/>
    <cellStyle name="Currency 5 3 2 2 2 3 3 3" xfId="22371" xr:uid="{68AD1AE3-471C-48E2-A7A6-FB0374D37BDF}"/>
    <cellStyle name="Currency 5 3 2 2 2 3 4" xfId="9713" xr:uid="{DAA9E2D0-8AB3-44C7-8BC7-D5C823FAE09F}"/>
    <cellStyle name="Currency 5 3 2 2 2 3 5" xfId="18154" xr:uid="{BB8625AA-6E24-41E5-B155-C8055C608474}"/>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3083991E-BA7F-4F16-8BD7-D17639A7EC48}"/>
    <cellStyle name="Currency 5 3 2 2 2 4 2 2 3" xfId="24929" xr:uid="{161E6885-FF39-4E99-BD96-17CDE942C808}"/>
    <cellStyle name="Currency 5 3 2 2 2 4 2 3" xfId="12271" xr:uid="{4123B954-EAF0-4A7C-9C69-C2E8731FB137}"/>
    <cellStyle name="Currency 5 3 2 2 2 4 2 4" xfId="20712" xr:uid="{B132D700-C9A5-4D84-8BFC-BD680070BA57}"/>
    <cellStyle name="Currency 5 3 2 2 2 4 3" xfId="5894" xr:uid="{00000000-0005-0000-0000-0000930C0000}"/>
    <cellStyle name="Currency 5 3 2 2 2 4 3 2" xfId="14344" xr:uid="{EE03E0D2-858E-4622-A0F4-6C2ECA3E158F}"/>
    <cellStyle name="Currency 5 3 2 2 2 4 3 3" xfId="22784" xr:uid="{5EF8F08A-6999-422F-A2BF-95EEF050BF29}"/>
    <cellStyle name="Currency 5 3 2 2 2 4 4" xfId="10126" xr:uid="{18ECE779-6F99-4733-A354-0BE8E7C237CD}"/>
    <cellStyle name="Currency 5 3 2 2 2 4 5" xfId="18567" xr:uid="{B9D43F1D-39FF-4E97-9735-12F92B98DF03}"/>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B58D34C9-CDC9-435D-A219-7CCAE6157ED4}"/>
    <cellStyle name="Currency 5 3 2 2 2 5 2 2 3" xfId="25342" xr:uid="{5F53865A-548B-4DF4-B40D-23BFDDACB964}"/>
    <cellStyle name="Currency 5 3 2 2 2 5 2 3" xfId="12684" xr:uid="{80DF1457-DD08-4FA2-9D5F-D6CD27E8951D}"/>
    <cellStyle name="Currency 5 3 2 2 2 5 2 4" xfId="21125" xr:uid="{E61B63E8-4A0B-4DE5-8A46-76B12471BA34}"/>
    <cellStyle name="Currency 5 3 2 2 2 5 3" xfId="6307" xr:uid="{00000000-0005-0000-0000-0000970C0000}"/>
    <cellStyle name="Currency 5 3 2 2 2 5 3 2" xfId="14757" xr:uid="{CBE75726-CC19-43B2-9E1E-1A82D34B2330}"/>
    <cellStyle name="Currency 5 3 2 2 2 5 3 3" xfId="23197" xr:uid="{6B7FF897-EF1A-4553-819A-35037D113596}"/>
    <cellStyle name="Currency 5 3 2 2 2 5 4" xfId="10539" xr:uid="{AD0A4AB7-B320-4570-A3B3-6AD3AD28776E}"/>
    <cellStyle name="Currency 5 3 2 2 2 5 5" xfId="18980" xr:uid="{3E14EC53-A4D9-406B-B786-1048BEC5925E}"/>
    <cellStyle name="Currency 5 3 2 2 2 6" xfId="2436" xr:uid="{00000000-0005-0000-0000-0000980C0000}"/>
    <cellStyle name="Currency 5 3 2 2 2 6 2" xfId="6720" xr:uid="{00000000-0005-0000-0000-0000990C0000}"/>
    <cellStyle name="Currency 5 3 2 2 2 6 2 2" xfId="15170" xr:uid="{E12D0812-298A-4FD6-8D28-5C886AEB3CCA}"/>
    <cellStyle name="Currency 5 3 2 2 2 6 2 3" xfId="23610" xr:uid="{5AA66182-914C-4776-A7BA-27DEE5AB9895}"/>
    <cellStyle name="Currency 5 3 2 2 2 6 3" xfId="10952" xr:uid="{7168454F-EF88-428D-B98D-170037AF1BBB}"/>
    <cellStyle name="Currency 5 3 2 2 2 6 4" xfId="19393" xr:uid="{CC4CFD9E-43E5-4335-94C3-EFBD08272CAC}"/>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BBAFD13B-F2ED-43A9-B205-C5BB793DEE72}"/>
    <cellStyle name="Currency 5 3 2 2 2 8 2 3" xfId="23927" xr:uid="{042FDB4D-D2B2-4275-9E2D-1E9115D3DBE1}"/>
    <cellStyle name="Currency 5 3 2 2 2 8 3" xfId="11269" xr:uid="{9A474AA1-6011-4BA3-B020-5B4BCD841275}"/>
    <cellStyle name="Currency 5 3 2 2 2 8 4" xfId="19710" xr:uid="{910994A3-411E-4146-8CFE-69917229F242}"/>
    <cellStyle name="Currency 5 3 2 2 2 9" xfId="4654" xr:uid="{00000000-0005-0000-0000-00009D0C0000}"/>
    <cellStyle name="Currency 5 3 2 2 2 9 2" xfId="13104" xr:uid="{ECBFA89A-4FC3-4E7B-823B-BE98BB32130B}"/>
    <cellStyle name="Currency 5 3 2 2 2 9 3" xfId="21544" xr:uid="{7BA6976D-0FD1-4A24-9AF6-CC6CE1E5480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94EA7DBE-80FF-46D4-9251-EC72738D18A2}"/>
    <cellStyle name="Currency 5 3 2 2 3 2 2 3" xfId="24102" xr:uid="{0BA4C414-5B0A-4A69-808E-3D452E57ED1D}"/>
    <cellStyle name="Currency 5 3 2 2 3 2 3" xfId="11444" xr:uid="{4E3A06DF-14EA-48EB-8715-E7C7A36F2372}"/>
    <cellStyle name="Currency 5 3 2 2 3 2 4" xfId="19885" xr:uid="{44D39151-A96E-4614-A1AB-5FCD01BBF6DF}"/>
    <cellStyle name="Currency 5 3 2 2 3 3" xfId="5067" xr:uid="{00000000-0005-0000-0000-0000A10C0000}"/>
    <cellStyle name="Currency 5 3 2 2 3 3 2" xfId="13517" xr:uid="{48C73258-14C2-4637-B9E5-2371348DBD53}"/>
    <cellStyle name="Currency 5 3 2 2 3 3 3" xfId="21957" xr:uid="{EE590113-77C9-471B-A7FD-D4BD1DE177A5}"/>
    <cellStyle name="Currency 5 3 2 2 3 4" xfId="9299" xr:uid="{32F8F2A7-7B2A-4F4A-9765-2E5474603DED}"/>
    <cellStyle name="Currency 5 3 2 2 3 5" xfId="17740" xr:uid="{2F0747CD-1E2A-49EF-9496-811D9EFC151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55C6410B-5108-4CA4-9A4D-A0F1248ABD79}"/>
    <cellStyle name="Currency 5 3 2 2 4 2 2 3" xfId="24515" xr:uid="{5884FD61-D467-4760-95D8-D3585CB66C39}"/>
    <cellStyle name="Currency 5 3 2 2 4 2 3" xfId="11857" xr:uid="{62098474-F242-4FD7-AE1D-90D6F60330A3}"/>
    <cellStyle name="Currency 5 3 2 2 4 2 4" xfId="20298" xr:uid="{C67E5A7F-F1A3-48AB-A676-670594694C0C}"/>
    <cellStyle name="Currency 5 3 2 2 4 3" xfId="5480" xr:uid="{00000000-0005-0000-0000-0000A50C0000}"/>
    <cellStyle name="Currency 5 3 2 2 4 3 2" xfId="13930" xr:uid="{4A828D05-A474-4D93-B0EC-C761F647BDF4}"/>
    <cellStyle name="Currency 5 3 2 2 4 3 3" xfId="22370" xr:uid="{BE521BCE-D9DF-4D26-8208-0981F1EA266A}"/>
    <cellStyle name="Currency 5 3 2 2 4 4" xfId="9712" xr:uid="{8F546918-66DC-4DBD-BD78-0AD73C2C5BF1}"/>
    <cellStyle name="Currency 5 3 2 2 4 5" xfId="18153" xr:uid="{18A00DFF-310A-4DD6-B40A-ED75428BB29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BE4F0605-D3CE-4DA3-9923-F3618BAD13EF}"/>
    <cellStyle name="Currency 5 3 2 2 5 2 2 3" xfId="24928" xr:uid="{7059604C-5036-4767-BD5C-55DB0BAABAF8}"/>
    <cellStyle name="Currency 5 3 2 2 5 2 3" xfId="12270" xr:uid="{52F539AB-0503-4AD7-B67F-091AAB47FC81}"/>
    <cellStyle name="Currency 5 3 2 2 5 2 4" xfId="20711" xr:uid="{24D70B89-0F19-4A7B-BC48-EB70EE49A93A}"/>
    <cellStyle name="Currency 5 3 2 2 5 3" xfId="5893" xr:uid="{00000000-0005-0000-0000-0000A90C0000}"/>
    <cellStyle name="Currency 5 3 2 2 5 3 2" xfId="14343" xr:uid="{F1F80881-AA85-44DA-87EA-A99DC046F9D8}"/>
    <cellStyle name="Currency 5 3 2 2 5 3 3" xfId="22783" xr:uid="{4F04525F-F480-4F18-AA41-EF131CFD3082}"/>
    <cellStyle name="Currency 5 3 2 2 5 4" xfId="10125" xr:uid="{BA8706E2-E176-4098-B11A-EAD6BFE32B47}"/>
    <cellStyle name="Currency 5 3 2 2 5 5" xfId="18566" xr:uid="{B330863A-36ED-4C58-90B0-1FE5247BA6B8}"/>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B711066F-81D3-4A83-9649-7EBC8695B033}"/>
    <cellStyle name="Currency 5 3 2 2 6 2 2 3" xfId="25341" xr:uid="{7F6BB1DB-48BE-4E55-B4B2-85FA74CCF298}"/>
    <cellStyle name="Currency 5 3 2 2 6 2 3" xfId="12683" xr:uid="{6D628804-C284-4526-A5A1-D3CA788A0460}"/>
    <cellStyle name="Currency 5 3 2 2 6 2 4" xfId="21124" xr:uid="{0FFC8E82-59FE-441F-80F2-11D471E851FE}"/>
    <cellStyle name="Currency 5 3 2 2 6 3" xfId="6306" xr:uid="{00000000-0005-0000-0000-0000AD0C0000}"/>
    <cellStyle name="Currency 5 3 2 2 6 3 2" xfId="14756" xr:uid="{433A8FF2-A16A-47D2-B663-61C5FD28EBF5}"/>
    <cellStyle name="Currency 5 3 2 2 6 3 3" xfId="23196" xr:uid="{91EEEB3B-D62A-40D6-B570-803684F46BE4}"/>
    <cellStyle name="Currency 5 3 2 2 6 4" xfId="10538" xr:uid="{A5789B70-8AE8-49B2-9EA3-1512CD69FF82}"/>
    <cellStyle name="Currency 5 3 2 2 6 5" xfId="18979" xr:uid="{DFA53367-A48C-4A15-8F79-B25DB0B68AC2}"/>
    <cellStyle name="Currency 5 3 2 2 7" xfId="2435" xr:uid="{00000000-0005-0000-0000-0000AE0C0000}"/>
    <cellStyle name="Currency 5 3 2 2 7 2" xfId="6719" xr:uid="{00000000-0005-0000-0000-0000AF0C0000}"/>
    <cellStyle name="Currency 5 3 2 2 7 2 2" xfId="15169" xr:uid="{959DF77B-642D-4ACE-8F55-E4F0A5E56B9F}"/>
    <cellStyle name="Currency 5 3 2 2 7 2 3" xfId="23609" xr:uid="{7929D2EE-A35E-41DF-A349-07A7FDBFA5C9}"/>
    <cellStyle name="Currency 5 3 2 2 7 3" xfId="10951" xr:uid="{31CCBDE3-A413-471D-8A3B-A6D49E4C803D}"/>
    <cellStyle name="Currency 5 3 2 2 7 4" xfId="19392" xr:uid="{DACA61E7-1668-47E2-B74E-ABF24AA45B99}"/>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8B19A01B-C4B4-4DDD-B80F-A83A88695C04}"/>
    <cellStyle name="Currency 5 3 2 2 9 2 3" xfId="23926" xr:uid="{E4FEF3F0-8601-4C90-8797-63FE51C0C93C}"/>
    <cellStyle name="Currency 5 3 2 2 9 3" xfId="11268" xr:uid="{4F3B9AB3-F3B9-4793-883A-B13C6FDEFC3A}"/>
    <cellStyle name="Currency 5 3 2 2 9 4" xfId="19709" xr:uid="{85847862-CF8C-4AAF-83B1-39B6539CAFFC}"/>
    <cellStyle name="Currency 5 3 2 3" xfId="213" xr:uid="{00000000-0005-0000-0000-0000B30C0000}"/>
    <cellStyle name="Currency 5 3 2 3 10" xfId="8887" xr:uid="{01FC79AF-F79A-4618-B041-234627F0396A}"/>
    <cellStyle name="Currency 5 3 2 3 11" xfId="17328" xr:uid="{AAC58F3F-C232-428C-9EE5-CE3F20E100E3}"/>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B32ABF46-4CA3-4EAD-B226-AE64919D4AD5}"/>
    <cellStyle name="Currency 5 3 2 3 2 2 2 3" xfId="24104" xr:uid="{49DD034E-72DE-4906-8365-A2C9085091A7}"/>
    <cellStyle name="Currency 5 3 2 3 2 2 3" xfId="11446" xr:uid="{ACD60B7A-D62B-44F2-B488-F8EB2BAB43F8}"/>
    <cellStyle name="Currency 5 3 2 3 2 2 4" xfId="19887" xr:uid="{9F583D9C-1E50-4A6B-8500-F106CFA0AB83}"/>
    <cellStyle name="Currency 5 3 2 3 2 3" xfId="5069" xr:uid="{00000000-0005-0000-0000-0000B70C0000}"/>
    <cellStyle name="Currency 5 3 2 3 2 3 2" xfId="13519" xr:uid="{993A7433-15C3-4957-A9DD-20FBC895CA2D}"/>
    <cellStyle name="Currency 5 3 2 3 2 3 3" xfId="21959" xr:uid="{004B4B75-B56A-4114-AAD8-06E0F9D86A1A}"/>
    <cellStyle name="Currency 5 3 2 3 2 4" xfId="9301" xr:uid="{CFD33159-5E8E-40C0-ABD0-2815C51D10FB}"/>
    <cellStyle name="Currency 5 3 2 3 2 5" xfId="17742" xr:uid="{F692FFF3-DC0B-4EE7-9DC6-5E5FB4CFBC0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F22C02CD-EE6F-416F-A8BB-E5769544993F}"/>
    <cellStyle name="Currency 5 3 2 3 3 2 2 3" xfId="24517" xr:uid="{C021C64F-6213-45F6-AC6B-077B4FD7B610}"/>
    <cellStyle name="Currency 5 3 2 3 3 2 3" xfId="11859" xr:uid="{82FE0C06-92ED-46B6-B122-BFCAE3D839C5}"/>
    <cellStyle name="Currency 5 3 2 3 3 2 4" xfId="20300" xr:uid="{3B8C350B-92D5-4BAF-9B3E-E091721EB276}"/>
    <cellStyle name="Currency 5 3 2 3 3 3" xfId="5482" xr:uid="{00000000-0005-0000-0000-0000BB0C0000}"/>
    <cellStyle name="Currency 5 3 2 3 3 3 2" xfId="13932" xr:uid="{2E1B6CA9-646F-402B-A62B-4275648CDD98}"/>
    <cellStyle name="Currency 5 3 2 3 3 3 3" xfId="22372" xr:uid="{2F3CD929-B1D6-4FBB-B16E-87940051E8FE}"/>
    <cellStyle name="Currency 5 3 2 3 3 4" xfId="9714" xr:uid="{D2986568-B72A-4AD6-9093-FED2C89CBC98}"/>
    <cellStyle name="Currency 5 3 2 3 3 5" xfId="18155" xr:uid="{AB66D99E-F03E-4E73-BD46-601FF318729D}"/>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59E641ED-FA6C-4EE9-A5C9-0D1C0477078D}"/>
    <cellStyle name="Currency 5 3 2 3 4 2 2 3" xfId="24930" xr:uid="{C1FBACC3-1ADB-4E29-802A-DE33DD328B68}"/>
    <cellStyle name="Currency 5 3 2 3 4 2 3" xfId="12272" xr:uid="{C89EB2CA-8061-4449-BD47-8D2B9A35739D}"/>
    <cellStyle name="Currency 5 3 2 3 4 2 4" xfId="20713" xr:uid="{8736B12F-292D-4646-88DB-120E10447731}"/>
    <cellStyle name="Currency 5 3 2 3 4 3" xfId="5895" xr:uid="{00000000-0005-0000-0000-0000BF0C0000}"/>
    <cellStyle name="Currency 5 3 2 3 4 3 2" xfId="14345" xr:uid="{B3FE22B8-35DC-4117-BBCA-F8503E4C0376}"/>
    <cellStyle name="Currency 5 3 2 3 4 3 3" xfId="22785" xr:uid="{E7247AC6-B534-4829-847D-DADDC61B504C}"/>
    <cellStyle name="Currency 5 3 2 3 4 4" xfId="10127" xr:uid="{C87B8FFD-AD7D-4DE4-BD09-06F183D4C1B4}"/>
    <cellStyle name="Currency 5 3 2 3 4 5" xfId="18568" xr:uid="{CA48734A-E1FB-4581-8B75-911B8B2B762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80908F1C-C53C-4BBA-B627-ED7C9560ECEA}"/>
    <cellStyle name="Currency 5 3 2 3 5 2 2 3" xfId="25343" xr:uid="{1765751F-2208-4E77-97FD-05CF967DE4DF}"/>
    <cellStyle name="Currency 5 3 2 3 5 2 3" xfId="12685" xr:uid="{94628854-8738-4FFD-BE81-3BABEF4158F3}"/>
    <cellStyle name="Currency 5 3 2 3 5 2 4" xfId="21126" xr:uid="{A77C90CC-0F1B-446D-8A4A-36E50FDF9341}"/>
    <cellStyle name="Currency 5 3 2 3 5 3" xfId="6308" xr:uid="{00000000-0005-0000-0000-0000C30C0000}"/>
    <cellStyle name="Currency 5 3 2 3 5 3 2" xfId="14758" xr:uid="{4ACA349A-5AED-4B7B-9D12-B8EA45A6CBAE}"/>
    <cellStyle name="Currency 5 3 2 3 5 3 3" xfId="23198" xr:uid="{96358557-B1A1-4DF5-887F-8DBA40626978}"/>
    <cellStyle name="Currency 5 3 2 3 5 4" xfId="10540" xr:uid="{B21F3861-E043-49F8-B509-1D39EBAB8279}"/>
    <cellStyle name="Currency 5 3 2 3 5 5" xfId="18981" xr:uid="{A3B1ECD3-074A-458A-BBCE-027E35A368AC}"/>
    <cellStyle name="Currency 5 3 2 3 6" xfId="2437" xr:uid="{00000000-0005-0000-0000-0000C40C0000}"/>
    <cellStyle name="Currency 5 3 2 3 6 2" xfId="6721" xr:uid="{00000000-0005-0000-0000-0000C50C0000}"/>
    <cellStyle name="Currency 5 3 2 3 6 2 2" xfId="15171" xr:uid="{F56E5C5D-60FF-4842-A966-3718B203568B}"/>
    <cellStyle name="Currency 5 3 2 3 6 2 3" xfId="23611" xr:uid="{9AE20B7B-01FD-4A36-B26C-465609C53ADA}"/>
    <cellStyle name="Currency 5 3 2 3 6 3" xfId="10953" xr:uid="{68AF1107-417E-4DD8-A5BD-621B8F64C367}"/>
    <cellStyle name="Currency 5 3 2 3 6 4" xfId="19394" xr:uid="{BCC750A6-8D38-4A9D-9C55-0E64617F6553}"/>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E245BB63-FD6F-4692-945F-25675D869A69}"/>
    <cellStyle name="Currency 5 3 2 3 8 2 3" xfId="23928" xr:uid="{293A83DA-A572-4EAB-BBF8-8881F97820EC}"/>
    <cellStyle name="Currency 5 3 2 3 8 3" xfId="11270" xr:uid="{7954E22F-9C6F-4C85-B859-8094933D1454}"/>
    <cellStyle name="Currency 5 3 2 3 8 4" xfId="19711" xr:uid="{63F7C1F2-7413-4E89-A25C-6D032EF03C85}"/>
    <cellStyle name="Currency 5 3 2 3 9" xfId="4655" xr:uid="{00000000-0005-0000-0000-0000C90C0000}"/>
    <cellStyle name="Currency 5 3 2 3 9 2" xfId="13105" xr:uid="{24A1E148-E0E1-4E77-8AE0-23E2F6181265}"/>
    <cellStyle name="Currency 5 3 2 3 9 3" xfId="21545" xr:uid="{458A83DB-E39A-4683-A0EF-58972A0A2334}"/>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56055BD6-3472-4389-BA20-0668F0F9FB73}"/>
    <cellStyle name="Currency 5 3 2 4 2 2 3" xfId="24101" xr:uid="{26333DCA-7E67-467C-9423-F2544DE83E93}"/>
    <cellStyle name="Currency 5 3 2 4 2 3" xfId="11443" xr:uid="{417AA170-A3AE-499D-9A89-391FFA2E8344}"/>
    <cellStyle name="Currency 5 3 2 4 2 4" xfId="19884" xr:uid="{CDCDBCA1-ECAD-4A4E-935C-4646872DF711}"/>
    <cellStyle name="Currency 5 3 2 4 3" xfId="5066" xr:uid="{00000000-0005-0000-0000-0000CD0C0000}"/>
    <cellStyle name="Currency 5 3 2 4 3 2" xfId="13516" xr:uid="{E42C9445-C258-448B-B53B-89F3DBFB97DF}"/>
    <cellStyle name="Currency 5 3 2 4 3 3" xfId="21956" xr:uid="{4A0207CB-2691-422A-A8D6-646826C4B5E5}"/>
    <cellStyle name="Currency 5 3 2 4 4" xfId="9298" xr:uid="{7C1A785F-ECCC-4FB0-BC0E-7E89B93C2420}"/>
    <cellStyle name="Currency 5 3 2 4 5" xfId="17739" xr:uid="{C868B90A-92FF-416C-BE62-DB3D145026B0}"/>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E61B7079-13BB-4E27-AA50-FADAB3F16104}"/>
    <cellStyle name="Currency 5 3 2 5 2 2 3" xfId="24514" xr:uid="{C980E428-A178-4208-8E66-1220ACAB63D5}"/>
    <cellStyle name="Currency 5 3 2 5 2 3" xfId="11856" xr:uid="{33956394-B9A7-4797-963E-DF0E1C2AE1F9}"/>
    <cellStyle name="Currency 5 3 2 5 2 4" xfId="20297" xr:uid="{D8A223A3-C5A9-4345-BFDA-C3DE6AE6D326}"/>
    <cellStyle name="Currency 5 3 2 5 3" xfId="5479" xr:uid="{00000000-0005-0000-0000-0000D10C0000}"/>
    <cellStyle name="Currency 5 3 2 5 3 2" xfId="13929" xr:uid="{F397D593-8ADC-4318-B526-250DFD42C821}"/>
    <cellStyle name="Currency 5 3 2 5 3 3" xfId="22369" xr:uid="{4135D3AC-73DE-43A9-A10E-0381E2B4B8AD}"/>
    <cellStyle name="Currency 5 3 2 5 4" xfId="9711" xr:uid="{1724B60F-4108-4FAF-8492-BE68D2A5BD15}"/>
    <cellStyle name="Currency 5 3 2 5 5" xfId="18152" xr:uid="{1749D54E-56BE-431E-9B50-E03D302498D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D55356B9-67E3-4764-9B71-FF39C71050D9}"/>
    <cellStyle name="Currency 5 3 2 6 2 2 3" xfId="24927" xr:uid="{4BA735A3-B43F-45DD-BD43-23C48E9B3E8D}"/>
    <cellStyle name="Currency 5 3 2 6 2 3" xfId="12269" xr:uid="{195CE886-B509-4D05-9D0E-542017C36CA4}"/>
    <cellStyle name="Currency 5 3 2 6 2 4" xfId="20710" xr:uid="{5B5A48EA-3934-4D35-AB07-AEDB9844E8B2}"/>
    <cellStyle name="Currency 5 3 2 6 3" xfId="5892" xr:uid="{00000000-0005-0000-0000-0000D50C0000}"/>
    <cellStyle name="Currency 5 3 2 6 3 2" xfId="14342" xr:uid="{F314F7ED-7F8B-4C67-97A4-42AB6B058ACC}"/>
    <cellStyle name="Currency 5 3 2 6 3 3" xfId="22782" xr:uid="{C91BDB05-89CD-4958-90E7-CF48B9E1C7A8}"/>
    <cellStyle name="Currency 5 3 2 6 4" xfId="10124" xr:uid="{EF858765-C3AF-4C8E-BC5E-699B1E8F9B8A}"/>
    <cellStyle name="Currency 5 3 2 6 5" xfId="18565" xr:uid="{3AA26B57-1AA9-4122-A5E1-6F0EE874B0B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ADFB96D4-EC1F-426B-B619-CD615E8B956D}"/>
    <cellStyle name="Currency 5 3 2 7 2 2 3" xfId="25340" xr:uid="{3B37FEE1-4AC0-4122-ACE4-61601B5269E0}"/>
    <cellStyle name="Currency 5 3 2 7 2 3" xfId="12682" xr:uid="{4B219D91-DC79-4D65-8696-57B4C9797E63}"/>
    <cellStyle name="Currency 5 3 2 7 2 4" xfId="21123" xr:uid="{A94F62DB-B738-466E-A6F7-32E076B2FAF2}"/>
    <cellStyle name="Currency 5 3 2 7 3" xfId="6305" xr:uid="{00000000-0005-0000-0000-0000D90C0000}"/>
    <cellStyle name="Currency 5 3 2 7 3 2" xfId="14755" xr:uid="{CA8EC3EA-2D65-4A77-90F6-DA45EFF28F4B}"/>
    <cellStyle name="Currency 5 3 2 7 3 3" xfId="23195" xr:uid="{DBA7EE92-CEB5-4A03-9128-84E96398BB5C}"/>
    <cellStyle name="Currency 5 3 2 7 4" xfId="10537" xr:uid="{CC5ABFE7-0D8B-4747-8797-D619FD987606}"/>
    <cellStyle name="Currency 5 3 2 7 5" xfId="18978" xr:uid="{0100B296-B472-4539-9CFC-6340B2D5D231}"/>
    <cellStyle name="Currency 5 3 2 8" xfId="2434" xr:uid="{00000000-0005-0000-0000-0000DA0C0000}"/>
    <cellStyle name="Currency 5 3 2 8 2" xfId="6718" xr:uid="{00000000-0005-0000-0000-0000DB0C0000}"/>
    <cellStyle name="Currency 5 3 2 8 2 2" xfId="15168" xr:uid="{9C0D7D7E-B37D-4B11-A972-23246EC2D2DC}"/>
    <cellStyle name="Currency 5 3 2 8 2 3" xfId="23608" xr:uid="{FC20AAF9-89EA-40BB-9C35-EEE5C912476A}"/>
    <cellStyle name="Currency 5 3 2 8 3" xfId="10950" xr:uid="{B6EEEC80-6BE2-4146-A574-445A192067CB}"/>
    <cellStyle name="Currency 5 3 2 8 4" xfId="19391" xr:uid="{5577411E-72A4-46E7-9DDA-9840CAB1ADCA}"/>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00C3A4A6-26D9-4EE8-8BFA-FBBE531D1365}"/>
    <cellStyle name="Currency 5 3 3 10 3" xfId="21546" xr:uid="{DD556E1D-D521-4052-BC1F-B98F145670E6}"/>
    <cellStyle name="Currency 5 3 3 11" xfId="8888" xr:uid="{7A8B3A50-4E53-4FF2-B0F2-78921E9528EF}"/>
    <cellStyle name="Currency 5 3 3 12" xfId="17329" xr:uid="{A614FF62-DBC3-445A-9B8C-EFE09F612267}"/>
    <cellStyle name="Currency 5 3 3 2" xfId="215" xr:uid="{00000000-0005-0000-0000-0000DF0C0000}"/>
    <cellStyle name="Currency 5 3 3 2 10" xfId="8889" xr:uid="{6148C04B-DFC9-462E-9AB2-F8EB319BFC9D}"/>
    <cellStyle name="Currency 5 3 3 2 11" xfId="17330" xr:uid="{25E0C625-3C61-4528-8F69-85BEA7EEDCF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3A892C56-A698-4808-A144-0CC5FE403C6F}"/>
    <cellStyle name="Currency 5 3 3 2 2 2 2 3" xfId="24106" xr:uid="{D11003F4-FF7A-4B87-A776-5201C155CF2A}"/>
    <cellStyle name="Currency 5 3 3 2 2 2 3" xfId="11448" xr:uid="{58D723DB-6B54-4D00-B49F-14E6E336230B}"/>
    <cellStyle name="Currency 5 3 3 2 2 2 4" xfId="19889" xr:uid="{3395C934-9370-4307-8D12-6827EF2C989F}"/>
    <cellStyle name="Currency 5 3 3 2 2 3" xfId="5071" xr:uid="{00000000-0005-0000-0000-0000E30C0000}"/>
    <cellStyle name="Currency 5 3 3 2 2 3 2" xfId="13521" xr:uid="{8E67C57A-29DA-4398-9963-7ADB43572BE6}"/>
    <cellStyle name="Currency 5 3 3 2 2 3 3" xfId="21961" xr:uid="{703B7384-DFFF-4194-92CF-5AA53539CCC0}"/>
    <cellStyle name="Currency 5 3 3 2 2 4" xfId="9303" xr:uid="{ADFBF98E-78BB-42FA-B43A-D48CC0849298}"/>
    <cellStyle name="Currency 5 3 3 2 2 5" xfId="17744" xr:uid="{6DA1B058-795C-4616-8938-966B8F476AFA}"/>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78FF700A-BCC7-4AE3-B6DE-3D64941D2FE1}"/>
    <cellStyle name="Currency 5 3 3 2 3 2 2 3" xfId="24519" xr:uid="{910D9E78-154F-4F14-A609-80BA0DFC5806}"/>
    <cellStyle name="Currency 5 3 3 2 3 2 3" xfId="11861" xr:uid="{D6D88311-D4D5-43EC-8C5D-023190516B6D}"/>
    <cellStyle name="Currency 5 3 3 2 3 2 4" xfId="20302" xr:uid="{C0F00622-E2D7-4043-8020-15720610A111}"/>
    <cellStyle name="Currency 5 3 3 2 3 3" xfId="5484" xr:uid="{00000000-0005-0000-0000-0000E70C0000}"/>
    <cellStyle name="Currency 5 3 3 2 3 3 2" xfId="13934" xr:uid="{11C7EE2F-F228-49F6-8033-F1A13D1EF34B}"/>
    <cellStyle name="Currency 5 3 3 2 3 3 3" xfId="22374" xr:uid="{6DDF7149-4C24-47A9-8C8F-FB6297A483D0}"/>
    <cellStyle name="Currency 5 3 3 2 3 4" xfId="9716" xr:uid="{3E3D2051-29E1-4F09-91D8-0B04851954A6}"/>
    <cellStyle name="Currency 5 3 3 2 3 5" xfId="18157" xr:uid="{F1223732-FD2E-4E96-B0D4-63AA252C0F28}"/>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B23EB26-9880-4E76-8D43-4FCE7233E7CE}"/>
    <cellStyle name="Currency 5 3 3 2 4 2 2 3" xfId="24932" xr:uid="{8E536BA2-A1FF-4EA7-B2DD-E8E5636498F2}"/>
    <cellStyle name="Currency 5 3 3 2 4 2 3" xfId="12274" xr:uid="{64E7C4D1-CE60-4920-8A41-96D2B6B9D48F}"/>
    <cellStyle name="Currency 5 3 3 2 4 2 4" xfId="20715" xr:uid="{4E88FD7E-B2DD-404C-994E-9C9F3F6C1DD3}"/>
    <cellStyle name="Currency 5 3 3 2 4 3" xfId="5897" xr:uid="{00000000-0005-0000-0000-0000EB0C0000}"/>
    <cellStyle name="Currency 5 3 3 2 4 3 2" xfId="14347" xr:uid="{4CC374B9-DCA9-4E4B-8246-3BAC7ABCC794}"/>
    <cellStyle name="Currency 5 3 3 2 4 3 3" xfId="22787" xr:uid="{C745C58D-4841-48C7-9C15-4E73F2613F25}"/>
    <cellStyle name="Currency 5 3 3 2 4 4" xfId="10129" xr:uid="{145AFEFA-759F-4A4D-A421-356265190BD2}"/>
    <cellStyle name="Currency 5 3 3 2 4 5" xfId="18570" xr:uid="{9AA8EE6D-0149-4CB8-A716-6CEE3C0E20F5}"/>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5B8984E0-931E-445F-A85F-AE39F0A7A375}"/>
    <cellStyle name="Currency 5 3 3 2 5 2 2 3" xfId="25345" xr:uid="{0D008B92-E2C7-408C-85C7-1CC4F49850B8}"/>
    <cellStyle name="Currency 5 3 3 2 5 2 3" xfId="12687" xr:uid="{17401C50-4FAF-4DB7-9FC1-BB4916798D6E}"/>
    <cellStyle name="Currency 5 3 3 2 5 2 4" xfId="21128" xr:uid="{57A31A20-0AB2-46D7-ABE1-2690EEAC9CFF}"/>
    <cellStyle name="Currency 5 3 3 2 5 3" xfId="6310" xr:uid="{00000000-0005-0000-0000-0000EF0C0000}"/>
    <cellStyle name="Currency 5 3 3 2 5 3 2" xfId="14760" xr:uid="{E8BCDA7E-D766-4422-999D-C584514E7445}"/>
    <cellStyle name="Currency 5 3 3 2 5 3 3" xfId="23200" xr:uid="{63EC4EF1-9D6E-487E-956C-B42C1EC64CAD}"/>
    <cellStyle name="Currency 5 3 3 2 5 4" xfId="10542" xr:uid="{62F2B15C-AB6B-4F13-9D1E-78824632CCAD}"/>
    <cellStyle name="Currency 5 3 3 2 5 5" xfId="18983" xr:uid="{A5431E25-A2ED-4AD9-B603-3875D3410B00}"/>
    <cellStyle name="Currency 5 3 3 2 6" xfId="2439" xr:uid="{00000000-0005-0000-0000-0000F00C0000}"/>
    <cellStyle name="Currency 5 3 3 2 6 2" xfId="6723" xr:uid="{00000000-0005-0000-0000-0000F10C0000}"/>
    <cellStyle name="Currency 5 3 3 2 6 2 2" xfId="15173" xr:uid="{872F6939-7967-4A68-B112-F4C156030E79}"/>
    <cellStyle name="Currency 5 3 3 2 6 2 3" xfId="23613" xr:uid="{AE272D11-108A-4C15-99D8-5ED5019B58C1}"/>
    <cellStyle name="Currency 5 3 3 2 6 3" xfId="10955" xr:uid="{21CC775E-DA57-4777-B2E7-EBFBE62B2308}"/>
    <cellStyle name="Currency 5 3 3 2 6 4" xfId="19396" xr:uid="{F351930A-495F-4852-A50B-ABA7B3AC288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C4D2583F-7194-4A39-A097-B72B5748A4C2}"/>
    <cellStyle name="Currency 5 3 3 2 8 2 3" xfId="23930" xr:uid="{93DD969C-BB5F-4AAB-8DA8-0CA184E2A5A7}"/>
    <cellStyle name="Currency 5 3 3 2 8 3" xfId="11272" xr:uid="{AA32AB1C-D20D-4F13-A039-C3FC108DA39C}"/>
    <cellStyle name="Currency 5 3 3 2 8 4" xfId="19713" xr:uid="{D0C984F8-9A47-4AC1-8865-3943650891FC}"/>
    <cellStyle name="Currency 5 3 3 2 9" xfId="4657" xr:uid="{00000000-0005-0000-0000-0000F50C0000}"/>
    <cellStyle name="Currency 5 3 3 2 9 2" xfId="13107" xr:uid="{B2B6825B-D96A-428B-8F4B-1F9137E9579A}"/>
    <cellStyle name="Currency 5 3 3 2 9 3" xfId="21547" xr:uid="{CC5EF1D4-662A-4CC6-812C-B5E037E86EA7}"/>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8D7ECE77-E9D3-4E11-A765-254C37B2E0D0}"/>
    <cellStyle name="Currency 5 3 3 3 2 2 3" xfId="24105" xr:uid="{34D71E12-87EC-4232-96F2-6E368A089846}"/>
    <cellStyle name="Currency 5 3 3 3 2 3" xfId="11447" xr:uid="{3D1AAD79-4209-4406-8911-79893D4E2EE0}"/>
    <cellStyle name="Currency 5 3 3 3 2 4" xfId="19888" xr:uid="{32EBEFF8-3E8E-44A2-A134-8873AED3B71B}"/>
    <cellStyle name="Currency 5 3 3 3 3" xfId="5070" xr:uid="{00000000-0005-0000-0000-0000F90C0000}"/>
    <cellStyle name="Currency 5 3 3 3 3 2" xfId="13520" xr:uid="{024ED7AE-FE9E-4F98-AFA6-3B7358BCAABA}"/>
    <cellStyle name="Currency 5 3 3 3 3 3" xfId="21960" xr:uid="{21BD607E-78A2-49EC-8C73-F1A79EA2A255}"/>
    <cellStyle name="Currency 5 3 3 3 4" xfId="9302" xr:uid="{3FA0E1D8-B91A-4B7C-AD12-005F18E74A81}"/>
    <cellStyle name="Currency 5 3 3 3 5" xfId="17743" xr:uid="{57E3816F-9D54-4AA9-B239-A9E2808072A3}"/>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B4ABDDF4-1C91-49C4-A9A3-FDA92BF95FB6}"/>
    <cellStyle name="Currency 5 3 3 4 2 2 3" xfId="24518" xr:uid="{C39DC42A-9D08-4E71-8626-77B5FF401DA2}"/>
    <cellStyle name="Currency 5 3 3 4 2 3" xfId="11860" xr:uid="{CCDAAF14-F523-4D21-8B2A-EF912DECB02D}"/>
    <cellStyle name="Currency 5 3 3 4 2 4" xfId="20301" xr:uid="{ADDCAD76-A316-4E02-A2FB-725FA68FFA2A}"/>
    <cellStyle name="Currency 5 3 3 4 3" xfId="5483" xr:uid="{00000000-0005-0000-0000-0000FD0C0000}"/>
    <cellStyle name="Currency 5 3 3 4 3 2" xfId="13933" xr:uid="{A9E55B71-8F13-498E-AB40-787B7B367FA8}"/>
    <cellStyle name="Currency 5 3 3 4 3 3" xfId="22373" xr:uid="{C09B242C-452F-4FF1-939F-CD30303B89A8}"/>
    <cellStyle name="Currency 5 3 3 4 4" xfId="9715" xr:uid="{AFBAD590-20BF-4CA0-AE52-B66ECE2576FF}"/>
    <cellStyle name="Currency 5 3 3 4 5" xfId="18156" xr:uid="{749A40CF-BBBF-4C22-B7B1-1A4B4E00313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3394CD56-B73C-498E-A3D0-0A50B7F00107}"/>
    <cellStyle name="Currency 5 3 3 5 2 2 3" xfId="24931" xr:uid="{4F77848E-FDF7-4B08-917A-4D68C2F654CA}"/>
    <cellStyle name="Currency 5 3 3 5 2 3" xfId="12273" xr:uid="{F994CFAD-42FC-4EF1-AC01-0925DD016C6B}"/>
    <cellStyle name="Currency 5 3 3 5 2 4" xfId="20714" xr:uid="{A14750EE-C856-47BD-94B7-BA43B0F09438}"/>
    <cellStyle name="Currency 5 3 3 5 3" xfId="5896" xr:uid="{00000000-0005-0000-0000-0000010D0000}"/>
    <cellStyle name="Currency 5 3 3 5 3 2" xfId="14346" xr:uid="{D3EB3669-A56B-4321-9038-64A663CFEAAC}"/>
    <cellStyle name="Currency 5 3 3 5 3 3" xfId="22786" xr:uid="{C05AD254-105E-4DEF-B66F-D69EA1D720CF}"/>
    <cellStyle name="Currency 5 3 3 5 4" xfId="10128" xr:uid="{43A8DC6E-D650-4C07-8DC5-2C280AF56A61}"/>
    <cellStyle name="Currency 5 3 3 5 5" xfId="18569" xr:uid="{3BC31272-64B9-4942-BCAB-00C67B040151}"/>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1EDABAFF-CBB1-47E5-ACC7-C7E0BE5A45D4}"/>
    <cellStyle name="Currency 5 3 3 6 2 2 3" xfId="25344" xr:uid="{9C49E76E-0CE3-4CB7-8215-77B6BAEFF1ED}"/>
    <cellStyle name="Currency 5 3 3 6 2 3" xfId="12686" xr:uid="{7FB171C0-5552-4685-9481-D1C36CDF05FB}"/>
    <cellStyle name="Currency 5 3 3 6 2 4" xfId="21127" xr:uid="{D58FAEAE-2AC9-4740-8028-38B1FF981605}"/>
    <cellStyle name="Currency 5 3 3 6 3" xfId="6309" xr:uid="{00000000-0005-0000-0000-0000050D0000}"/>
    <cellStyle name="Currency 5 3 3 6 3 2" xfId="14759" xr:uid="{9F3B3616-191C-4898-8FE3-C08F63CD469B}"/>
    <cellStyle name="Currency 5 3 3 6 3 3" xfId="23199" xr:uid="{F5B4111C-78EB-45F6-AA6E-168BC11A8DB1}"/>
    <cellStyle name="Currency 5 3 3 6 4" xfId="10541" xr:uid="{8BA3ABE1-3A24-4302-BA15-F0224138B3A2}"/>
    <cellStyle name="Currency 5 3 3 6 5" xfId="18982" xr:uid="{D3490249-81D1-4ACE-9BA1-40A2B4E0531C}"/>
    <cellStyle name="Currency 5 3 3 7" xfId="2438" xr:uid="{00000000-0005-0000-0000-0000060D0000}"/>
    <cellStyle name="Currency 5 3 3 7 2" xfId="6722" xr:uid="{00000000-0005-0000-0000-0000070D0000}"/>
    <cellStyle name="Currency 5 3 3 7 2 2" xfId="15172" xr:uid="{FBEEA42E-A0C2-46BB-B3C5-11339EE4BF56}"/>
    <cellStyle name="Currency 5 3 3 7 2 3" xfId="23612" xr:uid="{A217B15F-7CC4-44B0-B606-EB09CFAB2875}"/>
    <cellStyle name="Currency 5 3 3 7 3" xfId="10954" xr:uid="{C54E6A22-907A-41AF-9D8B-56280C227C68}"/>
    <cellStyle name="Currency 5 3 3 7 4" xfId="19395" xr:uid="{0CC12C6F-1E05-4CA2-9FB2-989E23DAD218}"/>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24CD2C93-350E-444F-A63A-755A2CA2CF2B}"/>
    <cellStyle name="Currency 5 3 3 9 2 3" xfId="23929" xr:uid="{33207081-4CA7-42FC-8006-2254C167BC83}"/>
    <cellStyle name="Currency 5 3 3 9 3" xfId="11271" xr:uid="{E2EEDE2C-DCD3-4FB6-97F2-59AE6304902C}"/>
    <cellStyle name="Currency 5 3 3 9 4" xfId="19712" xr:uid="{62F18D43-A150-4B10-99DF-F2D75F7A36A1}"/>
    <cellStyle name="Currency 5 3 4" xfId="216" xr:uid="{00000000-0005-0000-0000-00000B0D0000}"/>
    <cellStyle name="Currency 5 3 4 10" xfId="8890" xr:uid="{0A834514-51AE-4676-96B9-744731CB07E5}"/>
    <cellStyle name="Currency 5 3 4 11" xfId="17331" xr:uid="{B486894B-6653-4450-A501-A60ABE7EF08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E20366C4-46EE-4D6F-9443-6318B7E799D1}"/>
    <cellStyle name="Currency 5 3 4 2 2 2 3" xfId="24107" xr:uid="{94B663B1-8E64-4AA4-8569-BEC6AB4829D9}"/>
    <cellStyle name="Currency 5 3 4 2 2 3" xfId="11449" xr:uid="{12A78AE0-4F2D-4085-9408-D5C792957A19}"/>
    <cellStyle name="Currency 5 3 4 2 2 4" xfId="19890" xr:uid="{1BFF73BC-34BC-4DFD-A208-34E8C4992C9F}"/>
    <cellStyle name="Currency 5 3 4 2 3" xfId="5072" xr:uid="{00000000-0005-0000-0000-00000F0D0000}"/>
    <cellStyle name="Currency 5 3 4 2 3 2" xfId="13522" xr:uid="{FE9DA6AA-9E1B-49DE-A3B9-88EE60E248DC}"/>
    <cellStyle name="Currency 5 3 4 2 3 3" xfId="21962" xr:uid="{0B6656FA-2028-4FAF-B120-2404216FCDEF}"/>
    <cellStyle name="Currency 5 3 4 2 4" xfId="9304" xr:uid="{EAE7D05C-9CB5-49C5-84D0-58D7BB066C90}"/>
    <cellStyle name="Currency 5 3 4 2 5" xfId="17745" xr:uid="{0AF4BBCA-3E83-4A5E-944E-9BAD430D0D44}"/>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864B762B-1CB6-4622-AFB5-239C0ADA02CC}"/>
    <cellStyle name="Currency 5 3 4 3 2 2 3" xfId="24520" xr:uid="{AA57D9C5-66EA-4951-BF09-903A57E54A6E}"/>
    <cellStyle name="Currency 5 3 4 3 2 3" xfId="11862" xr:uid="{CF63BD10-CDA3-4282-A639-ABFE5107F14D}"/>
    <cellStyle name="Currency 5 3 4 3 2 4" xfId="20303" xr:uid="{151EBC00-8EDE-4EB5-9DC4-D60A42EACB08}"/>
    <cellStyle name="Currency 5 3 4 3 3" xfId="5485" xr:uid="{00000000-0005-0000-0000-0000130D0000}"/>
    <cellStyle name="Currency 5 3 4 3 3 2" xfId="13935" xr:uid="{3936BFAE-CAEC-4C5D-AFE8-3B1F7CEE2F51}"/>
    <cellStyle name="Currency 5 3 4 3 3 3" xfId="22375" xr:uid="{AE36C7BA-1B3D-43C7-9484-E2428448F700}"/>
    <cellStyle name="Currency 5 3 4 3 4" xfId="9717" xr:uid="{3E411F02-7519-4A9B-88CB-CC1C74FCD69B}"/>
    <cellStyle name="Currency 5 3 4 3 5" xfId="18158" xr:uid="{CE514830-B5B6-4D06-8B5D-79006FEB9362}"/>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142FC10C-8036-47D1-8117-B90EE758FE59}"/>
    <cellStyle name="Currency 5 3 4 4 2 2 3" xfId="24933" xr:uid="{73A8A7A5-3333-41E3-8E32-5833E04C1BC7}"/>
    <cellStyle name="Currency 5 3 4 4 2 3" xfId="12275" xr:uid="{76247DD2-AA06-41D2-8239-3FEFFBC3A7B6}"/>
    <cellStyle name="Currency 5 3 4 4 2 4" xfId="20716" xr:uid="{4DD1028A-E1DD-417F-A792-6A4BF249B1FB}"/>
    <cellStyle name="Currency 5 3 4 4 3" xfId="5898" xr:uid="{00000000-0005-0000-0000-0000170D0000}"/>
    <cellStyle name="Currency 5 3 4 4 3 2" xfId="14348" xr:uid="{6E025967-9F54-4546-8A9C-8C70D140D0B1}"/>
    <cellStyle name="Currency 5 3 4 4 3 3" xfId="22788" xr:uid="{74C94376-1645-4A60-AACC-1A15087108D5}"/>
    <cellStyle name="Currency 5 3 4 4 4" xfId="10130" xr:uid="{B5185C48-432D-40AF-A42F-372C009CF4D0}"/>
    <cellStyle name="Currency 5 3 4 4 5" xfId="18571" xr:uid="{8AA54654-78E3-4155-9A5A-20461397614A}"/>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AC7F056A-896F-4E51-A1D5-E57FCB44EFF9}"/>
    <cellStyle name="Currency 5 3 4 5 2 2 3" xfId="25346" xr:uid="{0C9EECB1-8344-4036-90FB-67675D00A7EC}"/>
    <cellStyle name="Currency 5 3 4 5 2 3" xfId="12688" xr:uid="{18B0AD34-CFA0-4006-A0B0-FABD6C0B47FA}"/>
    <cellStyle name="Currency 5 3 4 5 2 4" xfId="21129" xr:uid="{7627DCA8-DAC3-4CFE-A683-6F5822E351B6}"/>
    <cellStyle name="Currency 5 3 4 5 3" xfId="6311" xr:uid="{00000000-0005-0000-0000-00001B0D0000}"/>
    <cellStyle name="Currency 5 3 4 5 3 2" xfId="14761" xr:uid="{AD988DDA-F0D4-4FBE-B640-52D0E55F5637}"/>
    <cellStyle name="Currency 5 3 4 5 3 3" xfId="23201" xr:uid="{4F75850D-5448-4AA4-99FF-5F51E6EBD01B}"/>
    <cellStyle name="Currency 5 3 4 5 4" xfId="10543" xr:uid="{0F4F351E-D71E-45CE-BC1F-55CFAE13B2EB}"/>
    <cellStyle name="Currency 5 3 4 5 5" xfId="18984" xr:uid="{618CD20E-CA07-4360-8992-79C5E7C043CC}"/>
    <cellStyle name="Currency 5 3 4 6" xfId="2440" xr:uid="{00000000-0005-0000-0000-00001C0D0000}"/>
    <cellStyle name="Currency 5 3 4 6 2" xfId="6724" xr:uid="{00000000-0005-0000-0000-00001D0D0000}"/>
    <cellStyle name="Currency 5 3 4 6 2 2" xfId="15174" xr:uid="{11D64F59-B3D3-4F5A-9C32-A70B818B6AA1}"/>
    <cellStyle name="Currency 5 3 4 6 2 3" xfId="23614" xr:uid="{C1A30EDA-17C6-47BB-99DD-902430E32B8F}"/>
    <cellStyle name="Currency 5 3 4 6 3" xfId="10956" xr:uid="{3C00FAB0-E57E-4219-A44B-12BEA27EB9DD}"/>
    <cellStyle name="Currency 5 3 4 6 4" xfId="19397" xr:uid="{768DAF19-E6E7-4BC0-9A62-521E174B0EF0}"/>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A2379A5C-FBB1-40F4-B3D4-7A27362DE2AB}"/>
    <cellStyle name="Currency 5 3 4 8 2 3" xfId="23931" xr:uid="{665233F1-1CB7-408B-AC99-30E88F6EFFCF}"/>
    <cellStyle name="Currency 5 3 4 8 3" xfId="11273" xr:uid="{5870A560-863E-4D20-ACF1-D6A39ED38A13}"/>
    <cellStyle name="Currency 5 3 4 8 4" xfId="19714" xr:uid="{EF3A1865-6E1A-452E-B627-5E4320492E7F}"/>
    <cellStyle name="Currency 5 3 4 9" xfId="4658" xr:uid="{00000000-0005-0000-0000-0000210D0000}"/>
    <cellStyle name="Currency 5 3 4 9 2" xfId="13108" xr:uid="{10ABAB77-EE72-4868-8396-C46C044F6CFF}"/>
    <cellStyle name="Currency 5 3 4 9 3" xfId="21548" xr:uid="{97D0E976-F872-4A61-9E58-AFD58866663F}"/>
    <cellStyle name="Currency 5 3 5" xfId="217" xr:uid="{00000000-0005-0000-0000-0000220D0000}"/>
    <cellStyle name="Currency 5 3 5 10" xfId="8891" xr:uid="{9C40BA28-9561-4522-874A-3225CF9B6C03}"/>
    <cellStyle name="Currency 5 3 5 11" xfId="17332" xr:uid="{A153CB7A-6DE8-4050-A563-CC26436B665B}"/>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63FB53F2-5634-47B8-8506-E06BBB0F097D}"/>
    <cellStyle name="Currency 5 3 5 2 2 2 3" xfId="24108" xr:uid="{C74C50BB-7FC2-4502-9705-51FC637E2206}"/>
    <cellStyle name="Currency 5 3 5 2 2 3" xfId="11450" xr:uid="{3416CD2B-5DA1-4DA5-9E30-3790BF35D7A8}"/>
    <cellStyle name="Currency 5 3 5 2 2 4" xfId="19891" xr:uid="{CAF6335B-E4DA-4525-B5D3-13DCF89D44ED}"/>
    <cellStyle name="Currency 5 3 5 2 3" xfId="5073" xr:uid="{00000000-0005-0000-0000-0000260D0000}"/>
    <cellStyle name="Currency 5 3 5 2 3 2" xfId="13523" xr:uid="{B47D04DF-F7EB-416C-95A8-0AA9928E9F90}"/>
    <cellStyle name="Currency 5 3 5 2 3 3" xfId="21963" xr:uid="{8F010D24-61D9-42A9-AEE9-2BCF033AAF17}"/>
    <cellStyle name="Currency 5 3 5 2 4" xfId="9305" xr:uid="{C851FCA2-BC49-4E30-9411-A2204D94C4A7}"/>
    <cellStyle name="Currency 5 3 5 2 5" xfId="17746" xr:uid="{79BC9EF1-94F7-47C5-81B6-113E45E0C388}"/>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0EEAE0F3-809C-430B-B521-F610C3A01FE4}"/>
    <cellStyle name="Currency 5 3 5 3 2 2 3" xfId="24521" xr:uid="{179A8ADD-813F-489C-8F40-58912B63421F}"/>
    <cellStyle name="Currency 5 3 5 3 2 3" xfId="11863" xr:uid="{89DDBAF6-6E4A-4987-939C-361F586604EB}"/>
    <cellStyle name="Currency 5 3 5 3 2 4" xfId="20304" xr:uid="{688D0988-5E0F-4444-B384-5CD4D3910F1B}"/>
    <cellStyle name="Currency 5 3 5 3 3" xfId="5486" xr:uid="{00000000-0005-0000-0000-00002A0D0000}"/>
    <cellStyle name="Currency 5 3 5 3 3 2" xfId="13936" xr:uid="{8F2AEAC4-3333-4F9A-A66B-0CD8B0FBC8B8}"/>
    <cellStyle name="Currency 5 3 5 3 3 3" xfId="22376" xr:uid="{8C62E42F-8442-4D7C-B5F7-134643CB3148}"/>
    <cellStyle name="Currency 5 3 5 3 4" xfId="9718" xr:uid="{0CE13BD3-B82E-4E46-82EF-CC64F3690883}"/>
    <cellStyle name="Currency 5 3 5 3 5" xfId="18159" xr:uid="{B3A43BE6-C380-44DB-BC91-425F2AE7AA4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9842CEFF-71F1-41B4-974C-A694932B314E}"/>
    <cellStyle name="Currency 5 3 5 4 2 2 3" xfId="24934" xr:uid="{4EC37673-B7A5-400D-9B80-6FCAA1DD9D68}"/>
    <cellStyle name="Currency 5 3 5 4 2 3" xfId="12276" xr:uid="{7CDC10D9-F7E7-4EED-BB66-AD06C01A6119}"/>
    <cellStyle name="Currency 5 3 5 4 2 4" xfId="20717" xr:uid="{C21F41AF-C99E-47EA-A75D-A1F06E651FD7}"/>
    <cellStyle name="Currency 5 3 5 4 3" xfId="5899" xr:uid="{00000000-0005-0000-0000-00002E0D0000}"/>
    <cellStyle name="Currency 5 3 5 4 3 2" xfId="14349" xr:uid="{A0EB611B-58E3-46C1-B89D-392C17BF9607}"/>
    <cellStyle name="Currency 5 3 5 4 3 3" xfId="22789" xr:uid="{68FDC7BB-03A2-4072-8414-80B9B7C4435C}"/>
    <cellStyle name="Currency 5 3 5 4 4" xfId="10131" xr:uid="{A11F9DF0-624E-4DD3-8DF6-D90572D5B568}"/>
    <cellStyle name="Currency 5 3 5 4 5" xfId="18572" xr:uid="{190847B6-18E4-4A7E-BDE7-178E04BE53D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438B16B1-B693-494B-86C9-178BEAF909C8}"/>
    <cellStyle name="Currency 5 3 5 5 2 2 3" xfId="25347" xr:uid="{FD75761E-A1EA-4036-BFFA-A607AF2B986F}"/>
    <cellStyle name="Currency 5 3 5 5 2 3" xfId="12689" xr:uid="{B8BBA662-F3CE-4AE8-94DE-016915E89464}"/>
    <cellStyle name="Currency 5 3 5 5 2 4" xfId="21130" xr:uid="{6BF519BB-BD1B-41E9-ACC7-37F3EA2B50B4}"/>
    <cellStyle name="Currency 5 3 5 5 3" xfId="6312" xr:uid="{00000000-0005-0000-0000-0000320D0000}"/>
    <cellStyle name="Currency 5 3 5 5 3 2" xfId="14762" xr:uid="{2269ABDF-7035-44BB-857A-7B0E75FE3DE6}"/>
    <cellStyle name="Currency 5 3 5 5 3 3" xfId="23202" xr:uid="{A4ABE2AF-8F39-41C3-AB6E-53160A4A67A5}"/>
    <cellStyle name="Currency 5 3 5 5 4" xfId="10544" xr:uid="{CCCF0B13-6D25-4D91-AE44-A2DDB7776E74}"/>
    <cellStyle name="Currency 5 3 5 5 5" xfId="18985" xr:uid="{963717BF-B18A-4A18-B6DB-E0D4FE9D926B}"/>
    <cellStyle name="Currency 5 3 5 6" xfId="2441" xr:uid="{00000000-0005-0000-0000-0000330D0000}"/>
    <cellStyle name="Currency 5 3 5 6 2" xfId="6725" xr:uid="{00000000-0005-0000-0000-0000340D0000}"/>
    <cellStyle name="Currency 5 3 5 6 2 2" xfId="15175" xr:uid="{D66C54A4-3932-41DE-8FE1-730DBAB49B74}"/>
    <cellStyle name="Currency 5 3 5 6 2 3" xfId="23615" xr:uid="{03E4B182-8BEE-495F-8EA0-165624D324FB}"/>
    <cellStyle name="Currency 5 3 5 6 3" xfId="10957" xr:uid="{B71DDCE1-31B1-44DB-9636-86A37CBDC1C2}"/>
    <cellStyle name="Currency 5 3 5 6 4" xfId="19398" xr:uid="{DA4BBCE4-14CE-471B-B88D-75AB7DBDC868}"/>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F148E163-27EC-48A0-84A4-D54234AFE622}"/>
    <cellStyle name="Currency 5 3 5 8 2 3" xfId="23932" xr:uid="{1C4B09F9-2150-4764-A882-C5027933CB4C}"/>
    <cellStyle name="Currency 5 3 5 8 3" xfId="11274" xr:uid="{150AE64E-54C4-46CA-ACA0-57DF38BCC505}"/>
    <cellStyle name="Currency 5 3 5 8 4" xfId="19715" xr:uid="{75A11EDC-975C-4C1C-91AB-0B361E4B3EF4}"/>
    <cellStyle name="Currency 5 3 5 9" xfId="4659" xr:uid="{00000000-0005-0000-0000-0000380D0000}"/>
    <cellStyle name="Currency 5 3 5 9 2" xfId="13109" xr:uid="{4C2ED8AA-D8E8-4E5B-BEFC-B2A30BF74A58}"/>
    <cellStyle name="Currency 5 3 5 9 3" xfId="21549" xr:uid="{8F7A59D0-6BCC-4D62-8E4F-44EA873481D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4B132565-58DB-4B2C-869D-0D6D35DA1481}"/>
    <cellStyle name="Currency 5 5 10 3" xfId="21550" xr:uid="{46154746-B82B-46F8-BD8A-ED3D43040CF2}"/>
    <cellStyle name="Currency 5 5 11" xfId="8892" xr:uid="{4EAB414D-7A97-43CD-81DF-74F675DC40D5}"/>
    <cellStyle name="Currency 5 5 12" xfId="17333" xr:uid="{25B03C99-B465-4648-BF59-0BD9FD507765}"/>
    <cellStyle name="Currency 5 5 2" xfId="220" xr:uid="{00000000-0005-0000-0000-00003D0D0000}"/>
    <cellStyle name="Currency 5 5 2 10" xfId="8893" xr:uid="{2177A911-C94A-4ED8-AC4F-C991863CF3A6}"/>
    <cellStyle name="Currency 5 5 2 11" xfId="17334" xr:uid="{39FDE67A-B863-4543-8A87-8FF82FDFE7F8}"/>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76531BA1-26EB-45F2-8F96-AC54D336BF05}"/>
    <cellStyle name="Currency 5 5 2 2 2 2 3" xfId="24110" xr:uid="{2478D596-EF17-4B6A-878B-A1C62892F82C}"/>
    <cellStyle name="Currency 5 5 2 2 2 3" xfId="11452" xr:uid="{AD6BE443-A1B4-47AB-AE0F-2E24E16FBF40}"/>
    <cellStyle name="Currency 5 5 2 2 2 4" xfId="19893" xr:uid="{0866F31E-E009-4892-B6D0-28AF17CF8EC1}"/>
    <cellStyle name="Currency 5 5 2 2 3" xfId="5075" xr:uid="{00000000-0005-0000-0000-0000410D0000}"/>
    <cellStyle name="Currency 5 5 2 2 3 2" xfId="13525" xr:uid="{A6C0ACDC-BE8D-49BD-822D-7A325F931CCC}"/>
    <cellStyle name="Currency 5 5 2 2 3 3" xfId="21965" xr:uid="{36F35A64-16EC-4325-A1B3-DD9E1E799D9D}"/>
    <cellStyle name="Currency 5 5 2 2 4" xfId="9307" xr:uid="{964920B5-196A-4A51-AA1D-0178CC39946A}"/>
    <cellStyle name="Currency 5 5 2 2 5" xfId="17748" xr:uid="{3E2ED7D0-C70A-4696-94E3-113EA52C3CC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906D6512-4133-40C4-B648-C8AA47CD8078}"/>
    <cellStyle name="Currency 5 5 2 3 2 2 3" xfId="24523" xr:uid="{530A2677-4567-4C79-BB13-C56DA0573ECA}"/>
    <cellStyle name="Currency 5 5 2 3 2 3" xfId="11865" xr:uid="{E53CD3C0-3A9E-4B8E-BA09-052357CB89B4}"/>
    <cellStyle name="Currency 5 5 2 3 2 4" xfId="20306" xr:uid="{3964C6B4-E68B-4915-B2F6-CA38692066CB}"/>
    <cellStyle name="Currency 5 5 2 3 3" xfId="5488" xr:uid="{00000000-0005-0000-0000-0000450D0000}"/>
    <cellStyle name="Currency 5 5 2 3 3 2" xfId="13938" xr:uid="{A2AFD5A3-AB42-47AE-A701-74FFDB2E220D}"/>
    <cellStyle name="Currency 5 5 2 3 3 3" xfId="22378" xr:uid="{DE0D7D7D-476B-490E-BC56-A8969D2D051E}"/>
    <cellStyle name="Currency 5 5 2 3 4" xfId="9720" xr:uid="{4BF6C22A-551A-4DD5-BD24-874E0ABA8E47}"/>
    <cellStyle name="Currency 5 5 2 3 5" xfId="18161" xr:uid="{BE919E82-D493-49AB-8B40-95E93BB04584}"/>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E0067F1D-FBA4-4BD4-B8CB-65536D70E136}"/>
    <cellStyle name="Currency 5 5 2 4 2 2 3" xfId="24936" xr:uid="{9F217BB3-C356-43F9-A8EB-CF67570C10D4}"/>
    <cellStyle name="Currency 5 5 2 4 2 3" xfId="12278" xr:uid="{4C51CD31-D99E-4E21-8573-2EF129559079}"/>
    <cellStyle name="Currency 5 5 2 4 2 4" xfId="20719" xr:uid="{FB0DDFF3-CCEE-464F-8DAC-405D46507D40}"/>
    <cellStyle name="Currency 5 5 2 4 3" xfId="5901" xr:uid="{00000000-0005-0000-0000-0000490D0000}"/>
    <cellStyle name="Currency 5 5 2 4 3 2" xfId="14351" xr:uid="{8642F965-DB73-46E0-ACB5-8EA0072A88E5}"/>
    <cellStyle name="Currency 5 5 2 4 3 3" xfId="22791" xr:uid="{87A3CC74-CD8B-44FA-9BBA-530E7B794514}"/>
    <cellStyle name="Currency 5 5 2 4 4" xfId="10133" xr:uid="{11AC7C3D-9860-42FC-B0B2-1AAD13954F7C}"/>
    <cellStyle name="Currency 5 5 2 4 5" xfId="18574" xr:uid="{2F4477DE-26DF-43B7-ADBD-B6CD268D290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EB797BB7-1E05-4413-8E69-2BE062C75BD3}"/>
    <cellStyle name="Currency 5 5 2 5 2 2 3" xfId="25349" xr:uid="{F0B5DDCF-1285-4717-89E9-5265859FD277}"/>
    <cellStyle name="Currency 5 5 2 5 2 3" xfId="12691" xr:uid="{270F77E3-AE6F-47DA-8DFF-65E85F9B01D9}"/>
    <cellStyle name="Currency 5 5 2 5 2 4" xfId="21132" xr:uid="{5251D833-B909-4E4A-8C34-E4E36D02A673}"/>
    <cellStyle name="Currency 5 5 2 5 3" xfId="6314" xr:uid="{00000000-0005-0000-0000-00004D0D0000}"/>
    <cellStyle name="Currency 5 5 2 5 3 2" xfId="14764" xr:uid="{164EDB0C-0ECA-42F7-8589-F6AF4066A5D7}"/>
    <cellStyle name="Currency 5 5 2 5 3 3" xfId="23204" xr:uid="{07BA04B0-31F2-4D90-AF72-91C220B5C66D}"/>
    <cellStyle name="Currency 5 5 2 5 4" xfId="10546" xr:uid="{75A3F6B5-A803-4513-ADA0-2D3C3ABF540F}"/>
    <cellStyle name="Currency 5 5 2 5 5" xfId="18987" xr:uid="{291DAD25-4F4F-452F-9B4C-234F01419360}"/>
    <cellStyle name="Currency 5 5 2 6" xfId="2443" xr:uid="{00000000-0005-0000-0000-00004E0D0000}"/>
    <cellStyle name="Currency 5 5 2 6 2" xfId="6727" xr:uid="{00000000-0005-0000-0000-00004F0D0000}"/>
    <cellStyle name="Currency 5 5 2 6 2 2" xfId="15177" xr:uid="{19CDA55B-3A78-4FB2-AA6E-785B8DA0394D}"/>
    <cellStyle name="Currency 5 5 2 6 2 3" xfId="23617" xr:uid="{8A9A3004-7169-427A-AA8C-4177826BC3F3}"/>
    <cellStyle name="Currency 5 5 2 6 3" xfId="10959" xr:uid="{77E72765-0B16-4EA3-82AA-EBCCA93BE7D7}"/>
    <cellStyle name="Currency 5 5 2 6 4" xfId="19400" xr:uid="{84FEB6C4-BB06-4CEE-B51D-793C2EF83E8D}"/>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0C1C3C73-B39F-4F69-8BE9-747A01FC9CC5}"/>
    <cellStyle name="Currency 5 5 2 8 2 3" xfId="23934" xr:uid="{6F786B92-3B52-4DAD-80D1-F2C1EFE3F036}"/>
    <cellStyle name="Currency 5 5 2 8 3" xfId="11276" xr:uid="{485C16C7-8F71-4317-BBA7-98DA4048599A}"/>
    <cellStyle name="Currency 5 5 2 8 4" xfId="19717" xr:uid="{FE3BDEF1-9181-474C-8862-2CAAB7F47A0E}"/>
    <cellStyle name="Currency 5 5 2 9" xfId="4661" xr:uid="{00000000-0005-0000-0000-0000530D0000}"/>
    <cellStyle name="Currency 5 5 2 9 2" xfId="13111" xr:uid="{EED172CE-403D-45AD-921D-73523E5CD824}"/>
    <cellStyle name="Currency 5 5 2 9 3" xfId="21551" xr:uid="{80FE3844-6121-4271-B0B9-9963DA8CD258}"/>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0771DF08-2C86-4ABA-BB9E-B9F7423456C9}"/>
    <cellStyle name="Currency 5 5 3 2 2 3" xfId="24109" xr:uid="{0887CBF1-8767-47BF-BA2D-B885D18DE1B0}"/>
    <cellStyle name="Currency 5 5 3 2 3" xfId="11451" xr:uid="{B9B8EA82-F319-4DE2-939A-070872558447}"/>
    <cellStyle name="Currency 5 5 3 2 4" xfId="19892" xr:uid="{3C617ED8-9D63-4D78-BCD5-916F166807CE}"/>
    <cellStyle name="Currency 5 5 3 3" xfId="5074" xr:uid="{00000000-0005-0000-0000-0000570D0000}"/>
    <cellStyle name="Currency 5 5 3 3 2" xfId="13524" xr:uid="{C84D5B58-963F-447C-839F-3DF8AF483C2B}"/>
    <cellStyle name="Currency 5 5 3 3 3" xfId="21964" xr:uid="{6CED5D30-F0EB-4956-B589-5199F6DB1E09}"/>
    <cellStyle name="Currency 5 5 3 4" xfId="9306" xr:uid="{11C433B8-1E8C-4753-B52B-17B2CEDCBE5E}"/>
    <cellStyle name="Currency 5 5 3 5" xfId="17747" xr:uid="{936F1FDB-1C65-43A8-AA14-E79FEB6DF652}"/>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0953625C-6BC9-489D-AC3C-166A42BDE7A6}"/>
    <cellStyle name="Currency 5 5 4 2 2 3" xfId="24522" xr:uid="{5464F935-9100-41CE-9868-7D16BDCC3B00}"/>
    <cellStyle name="Currency 5 5 4 2 3" xfId="11864" xr:uid="{84B92B7C-6AB0-4162-A97A-34ACCC427844}"/>
    <cellStyle name="Currency 5 5 4 2 4" xfId="20305" xr:uid="{4997113A-64B0-4972-9F87-767604801956}"/>
    <cellStyle name="Currency 5 5 4 3" xfId="5487" xr:uid="{00000000-0005-0000-0000-00005B0D0000}"/>
    <cellStyle name="Currency 5 5 4 3 2" xfId="13937" xr:uid="{A4665A6B-01D0-40F8-9C3C-A501896F87A2}"/>
    <cellStyle name="Currency 5 5 4 3 3" xfId="22377" xr:uid="{F534DFCE-E8E2-4AB3-A215-D24FEFF8FB4F}"/>
    <cellStyle name="Currency 5 5 4 4" xfId="9719" xr:uid="{3FE67A4C-5A38-4A13-BA0B-E5D8B7F59E79}"/>
    <cellStyle name="Currency 5 5 4 5" xfId="18160" xr:uid="{3825E81C-89E3-4D59-BD94-C6509DBDD399}"/>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DCC73DFC-5A8A-431D-A784-2D0E4FF3B6FA}"/>
    <cellStyle name="Currency 5 5 5 2 2 3" xfId="24935" xr:uid="{ED5B5D67-48B3-48FD-B826-332652B1481A}"/>
    <cellStyle name="Currency 5 5 5 2 3" xfId="12277" xr:uid="{FD0410FF-4042-4190-B4B9-92C4D30DA0F6}"/>
    <cellStyle name="Currency 5 5 5 2 4" xfId="20718" xr:uid="{CDCE822A-AE1D-40DF-A94E-17CB050B0FC3}"/>
    <cellStyle name="Currency 5 5 5 3" xfId="5900" xr:uid="{00000000-0005-0000-0000-00005F0D0000}"/>
    <cellStyle name="Currency 5 5 5 3 2" xfId="14350" xr:uid="{6E1AE5F2-8340-44D3-90AF-25B8C153ADA6}"/>
    <cellStyle name="Currency 5 5 5 3 3" xfId="22790" xr:uid="{96AF5CD2-5EE5-4AB0-B451-81DA68B3F288}"/>
    <cellStyle name="Currency 5 5 5 4" xfId="10132" xr:uid="{B09EDE33-D68F-4443-803F-BA273FDDAF07}"/>
    <cellStyle name="Currency 5 5 5 5" xfId="18573" xr:uid="{4CC411CC-CC88-40EB-88F3-CCF1A1703459}"/>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7C810DB4-4DCF-491D-A67B-8352494E5ED6}"/>
    <cellStyle name="Currency 5 5 6 2 2 3" xfId="25348" xr:uid="{C2860ECB-79B1-4566-AACB-E4F4002E0ACE}"/>
    <cellStyle name="Currency 5 5 6 2 3" xfId="12690" xr:uid="{BD3F48F1-F572-46DD-A962-F7EEF0F14830}"/>
    <cellStyle name="Currency 5 5 6 2 4" xfId="21131" xr:uid="{DA63BA8A-634B-4410-8178-71015B1239A3}"/>
    <cellStyle name="Currency 5 5 6 3" xfId="6313" xr:uid="{00000000-0005-0000-0000-0000630D0000}"/>
    <cellStyle name="Currency 5 5 6 3 2" xfId="14763" xr:uid="{AAB7E9EB-FBCA-48C0-92E8-17F44F1D6B77}"/>
    <cellStyle name="Currency 5 5 6 3 3" xfId="23203" xr:uid="{061AED9E-8A0B-4058-B34C-C15D8ADF5342}"/>
    <cellStyle name="Currency 5 5 6 4" xfId="10545" xr:uid="{D85A135A-3C3D-4FD7-8481-8DA749740AF2}"/>
    <cellStyle name="Currency 5 5 6 5" xfId="18986" xr:uid="{1B7725BF-D29E-4585-8477-13A58918A065}"/>
    <cellStyle name="Currency 5 5 7" xfId="2442" xr:uid="{00000000-0005-0000-0000-0000640D0000}"/>
    <cellStyle name="Currency 5 5 7 2" xfId="6726" xr:uid="{00000000-0005-0000-0000-0000650D0000}"/>
    <cellStyle name="Currency 5 5 7 2 2" xfId="15176" xr:uid="{0F8F5037-DA96-47F5-9D72-685E6FFBF214}"/>
    <cellStyle name="Currency 5 5 7 2 3" xfId="23616" xr:uid="{D796F5C3-AE88-451D-9F0B-D5FDC542E866}"/>
    <cellStyle name="Currency 5 5 7 3" xfId="10958" xr:uid="{DD274207-9A73-4468-85FA-DDCA4BA79EA6}"/>
    <cellStyle name="Currency 5 5 7 4" xfId="19399" xr:uid="{D349DEA1-0E19-4AE4-8C6F-E1341B41902D}"/>
    <cellStyle name="Currency 5 5 8" xfId="2739" xr:uid="{00000000-0005-0000-0000-0000660D0000}"/>
    <cellStyle name="Currency 5 5 9" xfId="2820" xr:uid="{00000000-0005-0000-0000-0000670D0000}"/>
    <cellStyle name="Currency 5 5 9 2" xfId="7043" xr:uid="{00000000-0005-0000-0000-0000680D0000}"/>
    <cellStyle name="Currency 5 5 9 2 2" xfId="15493" xr:uid="{5874C293-C39B-469E-86B3-7F2F81CC2979}"/>
    <cellStyle name="Currency 5 5 9 2 3" xfId="23933" xr:uid="{1D96E1E4-9877-4099-9EDE-DF54E40FF50F}"/>
    <cellStyle name="Currency 5 5 9 3" xfId="11275" xr:uid="{CB1C2373-47EC-47FE-84B0-7801288F696A}"/>
    <cellStyle name="Currency 5 5 9 4" xfId="19716" xr:uid="{3EFAAFCB-9D78-492E-ABD5-770D5A6E1341}"/>
    <cellStyle name="Currency 5 6" xfId="221" xr:uid="{00000000-0005-0000-0000-0000690D0000}"/>
    <cellStyle name="Currency 5 6 10" xfId="8894" xr:uid="{0E2D185F-05E1-49FF-8475-EA7D07BAE50D}"/>
    <cellStyle name="Currency 5 6 11" xfId="17335" xr:uid="{E96CABB3-98E4-403D-8612-931FF9BD835B}"/>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16C28235-4F7D-4E41-A039-22C1432FAAA9}"/>
    <cellStyle name="Currency 5 6 2 2 2 3" xfId="24111" xr:uid="{D016EAFF-3379-4433-89BA-9B52BFC5AD1B}"/>
    <cellStyle name="Currency 5 6 2 2 3" xfId="11453" xr:uid="{D4E1BAFB-6D0C-4837-8F3D-CFE90B25C98D}"/>
    <cellStyle name="Currency 5 6 2 2 4" xfId="19894" xr:uid="{CAB24AE9-65D6-4FFA-BA4F-D9F6AA80EABA}"/>
    <cellStyle name="Currency 5 6 2 3" xfId="5076" xr:uid="{00000000-0005-0000-0000-00006D0D0000}"/>
    <cellStyle name="Currency 5 6 2 3 2" xfId="13526" xr:uid="{1402F88F-76B4-422F-A8D8-C1A165A48273}"/>
    <cellStyle name="Currency 5 6 2 3 3" xfId="21966" xr:uid="{427BC5A8-EE3C-4328-9801-E6E0FE7A119A}"/>
    <cellStyle name="Currency 5 6 2 4" xfId="9308" xr:uid="{F1E93090-39FE-4927-BB71-ACB059F6E18C}"/>
    <cellStyle name="Currency 5 6 2 5" xfId="17749" xr:uid="{E6F707C3-AF46-4D3A-8C69-61C0FA107136}"/>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0090419C-055F-4B65-8637-4B1DD1FE973E}"/>
    <cellStyle name="Currency 5 6 3 2 2 3" xfId="24524" xr:uid="{1759102C-917E-487F-B26A-53DBEEC64EC2}"/>
    <cellStyle name="Currency 5 6 3 2 3" xfId="11866" xr:uid="{D67764CD-C7A7-4B8D-A1DB-0CED59AA334A}"/>
    <cellStyle name="Currency 5 6 3 2 4" xfId="20307" xr:uid="{4720B046-95E3-404D-942B-EB2D7F42C73F}"/>
    <cellStyle name="Currency 5 6 3 3" xfId="5489" xr:uid="{00000000-0005-0000-0000-0000710D0000}"/>
    <cellStyle name="Currency 5 6 3 3 2" xfId="13939" xr:uid="{AD8D0D17-6105-4FA0-8316-476481B44D89}"/>
    <cellStyle name="Currency 5 6 3 3 3" xfId="22379" xr:uid="{B91978C2-EA6D-4F41-83CC-62D0B01E6A44}"/>
    <cellStyle name="Currency 5 6 3 4" xfId="9721" xr:uid="{7FD966AC-3DDE-4CD3-B4CC-716D040F6028}"/>
    <cellStyle name="Currency 5 6 3 5" xfId="18162" xr:uid="{E6CF5FF3-126F-4E93-A26C-17F2F497484F}"/>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C2C6DBA8-8D9C-4265-A1F3-650FE1B4AED7}"/>
    <cellStyle name="Currency 5 6 4 2 2 3" xfId="24937" xr:uid="{603F512C-70B3-4E91-8791-90E00BE800D5}"/>
    <cellStyle name="Currency 5 6 4 2 3" xfId="12279" xr:uid="{E6C90751-DAC0-499E-A25C-2AA57E8CF62C}"/>
    <cellStyle name="Currency 5 6 4 2 4" xfId="20720" xr:uid="{DD0604EF-5810-4586-85E5-979E45203479}"/>
    <cellStyle name="Currency 5 6 4 3" xfId="5902" xr:uid="{00000000-0005-0000-0000-0000750D0000}"/>
    <cellStyle name="Currency 5 6 4 3 2" xfId="14352" xr:uid="{B2E6AEB7-BC2F-4B05-82AC-4ADB10DF02D7}"/>
    <cellStyle name="Currency 5 6 4 3 3" xfId="22792" xr:uid="{615C2A63-8FF3-4660-8AEE-0C87469FCAA5}"/>
    <cellStyle name="Currency 5 6 4 4" xfId="10134" xr:uid="{A08F24F5-9D7C-4263-AD72-F596D420D01F}"/>
    <cellStyle name="Currency 5 6 4 5" xfId="18575" xr:uid="{23A531A5-DFCC-45F2-A3BF-43BB7C1F6945}"/>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80DBEC99-7127-4865-910E-C66822F6472E}"/>
    <cellStyle name="Currency 5 6 5 2 2 3" xfId="25350" xr:uid="{1CBDB65D-2A4E-4083-8245-FCFC44711F22}"/>
    <cellStyle name="Currency 5 6 5 2 3" xfId="12692" xr:uid="{2ED5E1CE-38D7-4B39-85A3-E9E0DFFE35C9}"/>
    <cellStyle name="Currency 5 6 5 2 4" xfId="21133" xr:uid="{2B79AA65-73CE-4082-A8D5-BB4009E1732D}"/>
    <cellStyle name="Currency 5 6 5 3" xfId="6315" xr:uid="{00000000-0005-0000-0000-0000790D0000}"/>
    <cellStyle name="Currency 5 6 5 3 2" xfId="14765" xr:uid="{BA704B71-782C-4848-9E29-95F8A78748C9}"/>
    <cellStyle name="Currency 5 6 5 3 3" xfId="23205" xr:uid="{02044DC3-8EA0-4F75-B290-9C6F646E8B23}"/>
    <cellStyle name="Currency 5 6 5 4" xfId="10547" xr:uid="{43B416E7-D0A5-4545-A446-55CA5570170D}"/>
    <cellStyle name="Currency 5 6 5 5" xfId="18988" xr:uid="{101C8538-6E2D-4FB2-8FD9-37463CAEB834}"/>
    <cellStyle name="Currency 5 6 6" xfId="2444" xr:uid="{00000000-0005-0000-0000-00007A0D0000}"/>
    <cellStyle name="Currency 5 6 6 2" xfId="6728" xr:uid="{00000000-0005-0000-0000-00007B0D0000}"/>
    <cellStyle name="Currency 5 6 6 2 2" xfId="15178" xr:uid="{F0A25A27-C451-454C-8AFD-1901D4525565}"/>
    <cellStyle name="Currency 5 6 6 2 3" xfId="23618" xr:uid="{378F6038-7DB0-4C04-A436-FF8FDA94C640}"/>
    <cellStyle name="Currency 5 6 6 3" xfId="10960" xr:uid="{07525CC4-79EC-4FBE-A916-9707EE1F60A8}"/>
    <cellStyle name="Currency 5 6 6 4" xfId="19401" xr:uid="{3DD5499B-3973-4C18-AEDF-74B14D09DC48}"/>
    <cellStyle name="Currency 5 6 7" xfId="2741" xr:uid="{00000000-0005-0000-0000-00007C0D0000}"/>
    <cellStyle name="Currency 5 6 8" xfId="2822" xr:uid="{00000000-0005-0000-0000-00007D0D0000}"/>
    <cellStyle name="Currency 5 6 8 2" xfId="7045" xr:uid="{00000000-0005-0000-0000-00007E0D0000}"/>
    <cellStyle name="Currency 5 6 8 2 2" xfId="15495" xr:uid="{071E46CF-E6FE-40EC-A6DB-D715560E8568}"/>
    <cellStyle name="Currency 5 6 8 2 3" xfId="23935" xr:uid="{FA113DE5-13FC-4A73-8713-D57FEC2C1B72}"/>
    <cellStyle name="Currency 5 6 8 3" xfId="11277" xr:uid="{BEAA4890-F59B-4C3E-B774-A2A87C9578AE}"/>
    <cellStyle name="Currency 5 6 8 4" xfId="19718" xr:uid="{8218AFDD-3AE2-46EC-BB02-2893740846D6}"/>
    <cellStyle name="Currency 5 6 9" xfId="4662" xr:uid="{00000000-0005-0000-0000-00007F0D0000}"/>
    <cellStyle name="Currency 5 6 9 2" xfId="13112" xr:uid="{EBA244AC-1277-4267-B081-E5FBC6863242}"/>
    <cellStyle name="Currency 5 6 9 3" xfId="21552" xr:uid="{D588DE3E-50A2-410B-B8E4-D101181A86C1}"/>
    <cellStyle name="Currency 5 7" xfId="222" xr:uid="{00000000-0005-0000-0000-0000800D0000}"/>
    <cellStyle name="Currency 5 7 10" xfId="8895" xr:uid="{6CBD2A9A-C4F1-43D6-BAA3-D26302CC2515}"/>
    <cellStyle name="Currency 5 7 11" xfId="17336" xr:uid="{AD42FD4B-8D0F-408A-A233-4626DB01613B}"/>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891E2AAF-D988-454D-9C7F-FABA27DE4B8E}"/>
    <cellStyle name="Currency 5 7 2 2 2 3" xfId="24112" xr:uid="{659523DC-CB14-4004-BFAB-90A2EFCC7FB7}"/>
    <cellStyle name="Currency 5 7 2 2 3" xfId="11454" xr:uid="{45630F9D-7DB3-4E2D-86B7-C14FCE1EC783}"/>
    <cellStyle name="Currency 5 7 2 2 4" xfId="19895" xr:uid="{AB6D0847-0A07-404D-910E-00079C8493E3}"/>
    <cellStyle name="Currency 5 7 2 3" xfId="5077" xr:uid="{00000000-0005-0000-0000-0000840D0000}"/>
    <cellStyle name="Currency 5 7 2 3 2" xfId="13527" xr:uid="{B432CD7A-9F7C-42BB-840D-0F461AB36326}"/>
    <cellStyle name="Currency 5 7 2 3 3" xfId="21967" xr:uid="{69579630-9DD3-49EB-ACCA-D3D1FBFBDB6B}"/>
    <cellStyle name="Currency 5 7 2 4" xfId="9309" xr:uid="{AC06CA2F-CBC4-4976-97C4-24A548EC3D9B}"/>
    <cellStyle name="Currency 5 7 2 5" xfId="17750" xr:uid="{0C736506-14FB-4E58-8C4B-27D6B44AF6E0}"/>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16F4BD10-D0F5-46BB-A950-3587075E89D4}"/>
    <cellStyle name="Currency 5 7 3 2 2 3" xfId="24525" xr:uid="{4105FC18-5AF1-4454-A00C-E2C05F5FF553}"/>
    <cellStyle name="Currency 5 7 3 2 3" xfId="11867" xr:uid="{4F1B4232-5A02-43DE-A07B-A4288DB4D85B}"/>
    <cellStyle name="Currency 5 7 3 2 4" xfId="20308" xr:uid="{0A48988E-C003-4FFA-ABB7-14140D990135}"/>
    <cellStyle name="Currency 5 7 3 3" xfId="5490" xr:uid="{00000000-0005-0000-0000-0000880D0000}"/>
    <cellStyle name="Currency 5 7 3 3 2" xfId="13940" xr:uid="{01045982-5B89-4B05-9939-CFE26D70709F}"/>
    <cellStyle name="Currency 5 7 3 3 3" xfId="22380" xr:uid="{1C569826-917E-47FD-AD40-B9A950ECBD2C}"/>
    <cellStyle name="Currency 5 7 3 4" xfId="9722" xr:uid="{C9285330-B1BA-4A29-A5CF-0EFA4BA89146}"/>
    <cellStyle name="Currency 5 7 3 5" xfId="18163" xr:uid="{7BAC14CC-6AB2-44CD-96B6-ED8A1CFCF053}"/>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14EC6C4A-62BA-42DC-9F38-CE57691B04A8}"/>
    <cellStyle name="Currency 5 7 4 2 2 3" xfId="24938" xr:uid="{4CEDDBFA-0B93-4E2D-B2B7-A82C30C21167}"/>
    <cellStyle name="Currency 5 7 4 2 3" xfId="12280" xr:uid="{513E6209-A47A-44AC-9E8E-ADBD627A0BD3}"/>
    <cellStyle name="Currency 5 7 4 2 4" xfId="20721" xr:uid="{D7BA36D3-D070-42EB-ABC6-5565B07827F5}"/>
    <cellStyle name="Currency 5 7 4 3" xfId="5903" xr:uid="{00000000-0005-0000-0000-00008C0D0000}"/>
    <cellStyle name="Currency 5 7 4 3 2" xfId="14353" xr:uid="{229C44E0-7696-4D91-9377-53EEA27B7384}"/>
    <cellStyle name="Currency 5 7 4 3 3" xfId="22793" xr:uid="{3FC6AFCC-E7DB-4A2B-9791-1FBB84A062D1}"/>
    <cellStyle name="Currency 5 7 4 4" xfId="10135" xr:uid="{DF99F68A-5379-42C2-8DB0-1CF94AFABCED}"/>
    <cellStyle name="Currency 5 7 4 5" xfId="18576" xr:uid="{A05A1E67-5FC0-4484-A8E0-675C18CD9E84}"/>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878740FB-DCD7-46E4-B613-9DB562D270CF}"/>
    <cellStyle name="Currency 5 7 5 2 2 3" xfId="25351" xr:uid="{F1036E8E-8250-408A-A889-064A432798CC}"/>
    <cellStyle name="Currency 5 7 5 2 3" xfId="12693" xr:uid="{AD3A613B-12E1-4F0B-9C54-DCBA4E70EC4D}"/>
    <cellStyle name="Currency 5 7 5 2 4" xfId="21134" xr:uid="{C99DACF7-B13D-48BD-8468-26A16C2078B9}"/>
    <cellStyle name="Currency 5 7 5 3" xfId="6316" xr:uid="{00000000-0005-0000-0000-0000900D0000}"/>
    <cellStyle name="Currency 5 7 5 3 2" xfId="14766" xr:uid="{D996BEBD-F975-4692-AAFB-33D61E8D3891}"/>
    <cellStyle name="Currency 5 7 5 3 3" xfId="23206" xr:uid="{19CB6278-464B-46B6-9D41-7FD31E31B954}"/>
    <cellStyle name="Currency 5 7 5 4" xfId="10548" xr:uid="{3349F908-9579-47AB-9CBE-B744CF8D946D}"/>
    <cellStyle name="Currency 5 7 5 5" xfId="18989" xr:uid="{16790B44-0474-418A-91DC-E129FF5B20EC}"/>
    <cellStyle name="Currency 5 7 6" xfId="2445" xr:uid="{00000000-0005-0000-0000-0000910D0000}"/>
    <cellStyle name="Currency 5 7 6 2" xfId="6729" xr:uid="{00000000-0005-0000-0000-0000920D0000}"/>
    <cellStyle name="Currency 5 7 6 2 2" xfId="15179" xr:uid="{96277E0D-9DB7-4944-A5D0-13CF9207FF27}"/>
    <cellStyle name="Currency 5 7 6 2 3" xfId="23619" xr:uid="{1ABBEAD5-525F-4FDF-B11E-8B407E4D2E82}"/>
    <cellStyle name="Currency 5 7 6 3" xfId="10961" xr:uid="{EDFD399C-F855-47B0-8CF8-BE5C74992AB5}"/>
    <cellStyle name="Currency 5 7 6 4" xfId="19402" xr:uid="{E06E4CCD-4565-47C2-A550-EBC6BE4881C9}"/>
    <cellStyle name="Currency 5 7 7" xfId="2742" xr:uid="{00000000-0005-0000-0000-0000930D0000}"/>
    <cellStyle name="Currency 5 7 8" xfId="2823" xr:uid="{00000000-0005-0000-0000-0000940D0000}"/>
    <cellStyle name="Currency 5 7 8 2" xfId="7046" xr:uid="{00000000-0005-0000-0000-0000950D0000}"/>
    <cellStyle name="Currency 5 7 8 2 2" xfId="15496" xr:uid="{4AAAC5AC-5EB4-4381-ABFE-55F5AC1FB10E}"/>
    <cellStyle name="Currency 5 7 8 2 3" xfId="23936" xr:uid="{8DD63BB0-19D5-4345-8080-1756BD3E110D}"/>
    <cellStyle name="Currency 5 7 8 3" xfId="11278" xr:uid="{425D12E4-6AA8-4C75-BBB9-784504F18EBC}"/>
    <cellStyle name="Currency 5 7 8 4" xfId="19719" xr:uid="{980132F5-F91C-4CF6-AF33-867F4A0BCEAA}"/>
    <cellStyle name="Currency 5 7 9" xfId="4663" xr:uid="{00000000-0005-0000-0000-0000960D0000}"/>
    <cellStyle name="Currency 5 7 9 2" xfId="13113" xr:uid="{67222993-CCDB-4077-95A7-C46838590BA4}"/>
    <cellStyle name="Currency 5 7 9 3" xfId="21553" xr:uid="{50B701F9-6724-4D19-92B5-0211AB81DB0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66B84ADD-5C2C-4D85-9DC6-3709D164679C}"/>
    <cellStyle name="Normal 12 10 2 3" xfId="23620" xr:uid="{4116B5A4-F281-4DD4-A940-132095C3D08C}"/>
    <cellStyle name="Normal 12 10 3" xfId="10962" xr:uid="{ADEBB6EE-C7D3-4FFB-9A77-5019F8B305DA}"/>
    <cellStyle name="Normal 12 10 4" xfId="19403" xr:uid="{4F2CFA41-4552-403C-B134-1CE68505291D}"/>
    <cellStyle name="Normal 12 11" xfId="4664" xr:uid="{00000000-0005-0000-0000-0000CC0D0000}"/>
    <cellStyle name="Normal 12 11 2" xfId="13114" xr:uid="{5DBCB729-791E-42C4-A9CD-B200A3C15095}"/>
    <cellStyle name="Normal 12 11 3" xfId="21554" xr:uid="{18050998-7DFE-4433-A6E8-E871598697C2}"/>
    <cellStyle name="Normal 12 12" xfId="8896" xr:uid="{6C576149-47DB-468F-BF12-9722887A8409}"/>
    <cellStyle name="Normal 12 13" xfId="17337" xr:uid="{8B1EDD76-C162-404F-97EB-3FBBBEF5B393}"/>
    <cellStyle name="Normal 12 2" xfId="260" xr:uid="{00000000-0005-0000-0000-0000CD0D0000}"/>
    <cellStyle name="Normal 12 2 10" xfId="8897" xr:uid="{0E9D6C74-F12F-47AB-BEED-5D0FF93023B1}"/>
    <cellStyle name="Normal 12 2 11" xfId="17338" xr:uid="{AAA4314D-FC8F-4BBB-82C5-C53CD175F38E}"/>
    <cellStyle name="Normal 12 2 2" xfId="261" xr:uid="{00000000-0005-0000-0000-0000CE0D0000}"/>
    <cellStyle name="Normal 12 2 2 10" xfId="17339" xr:uid="{A95D24C6-E2F3-4C3D-A80F-782B0228C46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BE828FDE-7750-4522-A185-14D68D7A7F05}"/>
    <cellStyle name="Normal 12 2 2 2 2 2 2 3" xfId="24116" xr:uid="{42DA4978-D10F-48D8-9EB2-6DBD2ACB007A}"/>
    <cellStyle name="Normal 12 2 2 2 2 2 3" xfId="11458" xr:uid="{A88DAE91-592F-4C2D-B11E-C51BE0FE314D}"/>
    <cellStyle name="Normal 12 2 2 2 2 2 4" xfId="19899" xr:uid="{737E164A-6F4F-4021-AB39-C5313E2C6BCB}"/>
    <cellStyle name="Normal 12 2 2 2 2 3" xfId="5081" xr:uid="{00000000-0005-0000-0000-0000D30D0000}"/>
    <cellStyle name="Normal 12 2 2 2 2 3 2" xfId="13531" xr:uid="{E4F16080-DD05-4A45-8190-EBF028FAEE5B}"/>
    <cellStyle name="Normal 12 2 2 2 2 3 3" xfId="21971" xr:uid="{C2E3D4A5-762F-4C78-AD85-8795CF8CAD98}"/>
    <cellStyle name="Normal 12 2 2 2 2 4" xfId="9313" xr:uid="{B87789BF-1C52-42B5-AD0B-3CA35D4F64F5}"/>
    <cellStyle name="Normal 12 2 2 2 2 5" xfId="17754" xr:uid="{5D9A5EF7-D2BF-4C61-BBB7-DFE65F1DE23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A68050F6-4B41-4E21-BD7B-B5978B307909}"/>
    <cellStyle name="Normal 12 2 2 2 3 2 2 3" xfId="24529" xr:uid="{F8582B20-B2E1-46B9-B96E-8377CDB32206}"/>
    <cellStyle name="Normal 12 2 2 2 3 2 3" xfId="11871" xr:uid="{05117FFF-FD42-4327-A78D-6B29C9584AC3}"/>
    <cellStyle name="Normal 12 2 2 2 3 2 4" xfId="20312" xr:uid="{2B04CDAA-8498-4BE8-B611-43B53C2A76C8}"/>
    <cellStyle name="Normal 12 2 2 2 3 3" xfId="5494" xr:uid="{00000000-0005-0000-0000-0000D70D0000}"/>
    <cellStyle name="Normal 12 2 2 2 3 3 2" xfId="13944" xr:uid="{CDEC547E-19E0-463B-9E3B-253A09CF751C}"/>
    <cellStyle name="Normal 12 2 2 2 3 3 3" xfId="22384" xr:uid="{35614ED4-DF6B-4D51-AFCB-2207137770E1}"/>
    <cellStyle name="Normal 12 2 2 2 3 4" xfId="9726" xr:uid="{4F004EFC-0F08-4D8A-B1B8-86F391E0DE48}"/>
    <cellStyle name="Normal 12 2 2 2 3 5" xfId="18167" xr:uid="{C26F634F-B5F2-4242-AA3B-9B0C3647C8C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453A4D0D-24B8-4C2B-990B-59F20C5735B1}"/>
    <cellStyle name="Normal 12 2 2 2 4 2 2 3" xfId="24942" xr:uid="{1185245B-E018-48D8-9AA7-E646422F754F}"/>
    <cellStyle name="Normal 12 2 2 2 4 2 3" xfId="12284" xr:uid="{9DACE2DE-E254-4294-9ECE-0FB03771AB4B}"/>
    <cellStyle name="Normal 12 2 2 2 4 2 4" xfId="20725" xr:uid="{29FAE478-7A44-4384-8CB3-AA997ABD279B}"/>
    <cellStyle name="Normal 12 2 2 2 4 3" xfId="5907" xr:uid="{00000000-0005-0000-0000-0000DB0D0000}"/>
    <cellStyle name="Normal 12 2 2 2 4 3 2" xfId="14357" xr:uid="{63EAC9A9-9900-450F-B2C8-29A8C2201B78}"/>
    <cellStyle name="Normal 12 2 2 2 4 3 3" xfId="22797" xr:uid="{8F8D72D5-8465-4485-A115-8C1E4377438E}"/>
    <cellStyle name="Normal 12 2 2 2 4 4" xfId="10139" xr:uid="{B552760D-2862-4A22-A136-E58A2F584B90}"/>
    <cellStyle name="Normal 12 2 2 2 4 5" xfId="18580" xr:uid="{888C08BF-A062-4326-9A04-5C8F477FB273}"/>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397C279B-0A56-45F9-9AD9-9105899579BC}"/>
    <cellStyle name="Normal 12 2 2 2 5 2 2 3" xfId="25355" xr:uid="{96344653-3B1C-403B-9660-AEF9DC6A1795}"/>
    <cellStyle name="Normal 12 2 2 2 5 2 3" xfId="12697" xr:uid="{0642F7E3-DD6C-418D-9110-1E1FB4EB0D03}"/>
    <cellStyle name="Normal 12 2 2 2 5 2 4" xfId="21138" xr:uid="{D66E3F6E-6031-4F6A-BEF8-D49A3727F39E}"/>
    <cellStyle name="Normal 12 2 2 2 5 3" xfId="6320" xr:uid="{00000000-0005-0000-0000-0000DF0D0000}"/>
    <cellStyle name="Normal 12 2 2 2 5 3 2" xfId="14770" xr:uid="{4802DE07-5B94-4191-92AA-FCF00DA50FBF}"/>
    <cellStyle name="Normal 12 2 2 2 5 3 3" xfId="23210" xr:uid="{D95A4269-D9F8-411E-97BB-C6F05DADFE34}"/>
    <cellStyle name="Normal 12 2 2 2 5 4" xfId="10552" xr:uid="{F9EB8588-05B6-4B78-8749-1510E191393B}"/>
    <cellStyle name="Normal 12 2 2 2 5 5" xfId="18993" xr:uid="{1506AB7F-AB5D-4A2F-BA19-8AC1646D4B2E}"/>
    <cellStyle name="Normal 12 2 2 2 6" xfId="2450" xr:uid="{00000000-0005-0000-0000-0000E00D0000}"/>
    <cellStyle name="Normal 12 2 2 2 6 2" xfId="6733" xr:uid="{00000000-0005-0000-0000-0000E10D0000}"/>
    <cellStyle name="Normal 12 2 2 2 6 2 2" xfId="15183" xr:uid="{78AD2C36-3930-4FB3-8AFB-74C066F24F52}"/>
    <cellStyle name="Normal 12 2 2 2 6 2 3" xfId="23623" xr:uid="{19EC8A0A-1B57-406E-932D-B2F4DF604CC6}"/>
    <cellStyle name="Normal 12 2 2 2 6 3" xfId="10965" xr:uid="{40C11FD1-D119-4C8A-9DEC-2022DFC3F0BC}"/>
    <cellStyle name="Normal 12 2 2 2 6 4" xfId="19406" xr:uid="{C20CBEFA-332D-436B-88EE-A89BF3B395DA}"/>
    <cellStyle name="Normal 12 2 2 2 7" xfId="4667" xr:uid="{00000000-0005-0000-0000-0000E20D0000}"/>
    <cellStyle name="Normal 12 2 2 2 7 2" xfId="13117" xr:uid="{EFF357CA-A21C-4DE7-935B-936917F7AC16}"/>
    <cellStyle name="Normal 12 2 2 2 7 3" xfId="21557" xr:uid="{FBFC66A3-6FBC-472B-8E1F-22F2CA11619B}"/>
    <cellStyle name="Normal 12 2 2 2 8" xfId="8899" xr:uid="{A30C56AE-2BCE-4398-860F-F2A4C99E0332}"/>
    <cellStyle name="Normal 12 2 2 2 9" xfId="17340" xr:uid="{816EA86C-4557-4671-994C-1E4202B21C3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E027F997-02CD-4412-9836-E2FDDA8BE20E}"/>
    <cellStyle name="Normal 12 2 2 3 2 2 3" xfId="24115" xr:uid="{FF5AACBA-A642-4616-BB67-1DF7B6816B78}"/>
    <cellStyle name="Normal 12 2 2 3 2 3" xfId="11457" xr:uid="{591BA879-8058-46F3-8F3F-C38D2EC10151}"/>
    <cellStyle name="Normal 12 2 2 3 2 4" xfId="19898" xr:uid="{A458503A-FF76-4B7C-94B8-151414F988DD}"/>
    <cellStyle name="Normal 12 2 2 3 3" xfId="5080" xr:uid="{00000000-0005-0000-0000-0000E60D0000}"/>
    <cellStyle name="Normal 12 2 2 3 3 2" xfId="13530" xr:uid="{F2328418-2305-4F62-9C05-556ED2DE98C0}"/>
    <cellStyle name="Normal 12 2 2 3 3 3" xfId="21970" xr:uid="{A7AEE440-ABC3-42BE-B42C-9C87E10BD9C1}"/>
    <cellStyle name="Normal 12 2 2 3 4" xfId="9312" xr:uid="{2FD013AE-297D-470D-BD38-AC154A1BC49B}"/>
    <cellStyle name="Normal 12 2 2 3 5" xfId="17753" xr:uid="{BB17FA6C-D995-4171-A78B-E9A27B599584}"/>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983B07E9-EC31-4FE8-A324-B18D5F94C04F}"/>
    <cellStyle name="Normal 12 2 2 4 2 2 3" xfId="24528" xr:uid="{5AD89284-7509-4D33-A937-F79299A8EEB4}"/>
    <cellStyle name="Normal 12 2 2 4 2 3" xfId="11870" xr:uid="{23653FB0-7999-4130-95B7-D0443203372C}"/>
    <cellStyle name="Normal 12 2 2 4 2 4" xfId="20311" xr:uid="{CDE1CC22-49BA-4CF0-BD33-48D4D208EDBA}"/>
    <cellStyle name="Normal 12 2 2 4 3" xfId="5493" xr:uid="{00000000-0005-0000-0000-0000EA0D0000}"/>
    <cellStyle name="Normal 12 2 2 4 3 2" xfId="13943" xr:uid="{15ED45B8-F14B-4A88-AC6D-6AFE355B95D2}"/>
    <cellStyle name="Normal 12 2 2 4 3 3" xfId="22383" xr:uid="{473AAAA8-327B-4FDD-8839-0CE7B7577F40}"/>
    <cellStyle name="Normal 12 2 2 4 4" xfId="9725" xr:uid="{5CD76EBE-DFDB-4BF6-B0C1-688218622D5D}"/>
    <cellStyle name="Normal 12 2 2 4 5" xfId="18166" xr:uid="{3F60C6CC-54AD-4DDA-9613-DE3F71CBA65C}"/>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7F15199D-09C7-4D09-8A59-5C36C032C4A2}"/>
    <cellStyle name="Normal 12 2 2 5 2 2 3" xfId="24941" xr:uid="{3D53BB77-9719-4067-BE79-BB0795333903}"/>
    <cellStyle name="Normal 12 2 2 5 2 3" xfId="12283" xr:uid="{0BB170BE-CDBC-47E0-B638-0DD0187D0259}"/>
    <cellStyle name="Normal 12 2 2 5 2 4" xfId="20724" xr:uid="{F1B71C35-A385-4871-B1AE-BEC0C6ABE740}"/>
    <cellStyle name="Normal 12 2 2 5 3" xfId="5906" xr:uid="{00000000-0005-0000-0000-0000EE0D0000}"/>
    <cellStyle name="Normal 12 2 2 5 3 2" xfId="14356" xr:uid="{3011BEBC-04D2-4A88-8A8F-BFF43EAF7972}"/>
    <cellStyle name="Normal 12 2 2 5 3 3" xfId="22796" xr:uid="{1BB5BED6-6915-4FE9-8D77-4A4E028AA8F1}"/>
    <cellStyle name="Normal 12 2 2 5 4" xfId="10138" xr:uid="{50482CFE-F4B7-4C88-A160-5947AE24B7E7}"/>
    <cellStyle name="Normal 12 2 2 5 5" xfId="18579" xr:uid="{D9739661-E59F-4954-B217-5C3C7A41F9AC}"/>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35072DDD-4B40-471D-B8B0-B226A7CE914C}"/>
    <cellStyle name="Normal 12 2 2 6 2 2 3" xfId="25354" xr:uid="{043DAC7C-189D-4559-AAF5-94873EBD0C47}"/>
    <cellStyle name="Normal 12 2 2 6 2 3" xfId="12696" xr:uid="{D5FD602E-AFAE-4784-8D5E-E8A6558BEE2A}"/>
    <cellStyle name="Normal 12 2 2 6 2 4" xfId="21137" xr:uid="{4F3181F7-19D6-4617-9435-A50F6653624F}"/>
    <cellStyle name="Normal 12 2 2 6 3" xfId="6319" xr:uid="{00000000-0005-0000-0000-0000F20D0000}"/>
    <cellStyle name="Normal 12 2 2 6 3 2" xfId="14769" xr:uid="{38FFB6A1-9387-4C4D-B3CD-8771AE908458}"/>
    <cellStyle name="Normal 12 2 2 6 3 3" xfId="23209" xr:uid="{35586C25-9D49-46E5-96D4-00F8740BE022}"/>
    <cellStyle name="Normal 12 2 2 6 4" xfId="10551" xr:uid="{7B7C8411-1C67-43A9-8F86-3D5C5C0F6DF7}"/>
    <cellStyle name="Normal 12 2 2 6 5" xfId="18992" xr:uid="{E6113AE9-BE21-4B88-B4C1-C236DAE5ED34}"/>
    <cellStyle name="Normal 12 2 2 7" xfId="2449" xr:uid="{00000000-0005-0000-0000-0000F30D0000}"/>
    <cellStyle name="Normal 12 2 2 7 2" xfId="6732" xr:uid="{00000000-0005-0000-0000-0000F40D0000}"/>
    <cellStyle name="Normal 12 2 2 7 2 2" xfId="15182" xr:uid="{F09A37AE-A939-40FF-BF48-0C63257F5208}"/>
    <cellStyle name="Normal 12 2 2 7 2 3" xfId="23622" xr:uid="{F1F3A77C-D8DA-4C53-B201-D9DF3A55EB91}"/>
    <cellStyle name="Normal 12 2 2 7 3" xfId="10964" xr:uid="{47D199F4-D780-4016-AAAC-D34FC66AF83E}"/>
    <cellStyle name="Normal 12 2 2 7 4" xfId="19405" xr:uid="{D971AE6B-21B8-4332-B3FB-8A27073C4DA2}"/>
    <cellStyle name="Normal 12 2 2 8" xfId="4666" xr:uid="{00000000-0005-0000-0000-0000F50D0000}"/>
    <cellStyle name="Normal 12 2 2 8 2" xfId="13116" xr:uid="{45BA485D-451C-4AE9-880D-957AB1737A9F}"/>
    <cellStyle name="Normal 12 2 2 8 3" xfId="21556" xr:uid="{6999A959-E45A-423D-8AFF-63AB9A883C26}"/>
    <cellStyle name="Normal 12 2 2 9" xfId="8898" xr:uid="{65D86842-965C-40B5-B7BD-466F730C7E66}"/>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575AE7D7-FA46-47D9-B5BB-9760C8C1B69B}"/>
    <cellStyle name="Normal 12 2 3 2 2 2 3" xfId="24117" xr:uid="{447052F2-4F65-4B34-8E0B-C03135FD47C6}"/>
    <cellStyle name="Normal 12 2 3 2 2 3" xfId="11459" xr:uid="{964E4C2A-930C-43AC-9466-747569A5AAFD}"/>
    <cellStyle name="Normal 12 2 3 2 2 4" xfId="19900" xr:uid="{F256AE9F-62C0-41AB-A4A7-E952DD7AD4A9}"/>
    <cellStyle name="Normal 12 2 3 2 3" xfId="5082" xr:uid="{00000000-0005-0000-0000-0000FA0D0000}"/>
    <cellStyle name="Normal 12 2 3 2 3 2" xfId="13532" xr:uid="{78473B56-D472-4626-A78C-14A58F4FA278}"/>
    <cellStyle name="Normal 12 2 3 2 3 3" xfId="21972" xr:uid="{79E3F6DB-C3DA-42DD-B05C-35BBFEE50B1F}"/>
    <cellStyle name="Normal 12 2 3 2 4" xfId="9314" xr:uid="{0436254E-4284-4848-B559-585BC19883DF}"/>
    <cellStyle name="Normal 12 2 3 2 5" xfId="17755" xr:uid="{A0E82AB4-8F5B-478E-896C-C2423E365361}"/>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CBB26F7C-7B5A-473B-A9C8-3CF69B0388AE}"/>
    <cellStyle name="Normal 12 2 3 3 2 2 3" xfId="24530" xr:uid="{ED6C6B04-6206-4EF6-9E4F-C3A0E3B496CE}"/>
    <cellStyle name="Normal 12 2 3 3 2 3" xfId="11872" xr:uid="{6F741397-04EC-4E4D-B755-2660242561D3}"/>
    <cellStyle name="Normal 12 2 3 3 2 4" xfId="20313" xr:uid="{0060729C-8D9E-4F74-AE63-F943843C4287}"/>
    <cellStyle name="Normal 12 2 3 3 3" xfId="5495" xr:uid="{00000000-0005-0000-0000-0000FE0D0000}"/>
    <cellStyle name="Normal 12 2 3 3 3 2" xfId="13945" xr:uid="{C895A598-1569-4870-88CA-CCB8A849BAF6}"/>
    <cellStyle name="Normal 12 2 3 3 3 3" xfId="22385" xr:uid="{A22B87B3-D55F-4980-A1E7-CD12719401EC}"/>
    <cellStyle name="Normal 12 2 3 3 4" xfId="9727" xr:uid="{B9465ED8-BB36-4E61-9A33-C0F041331D77}"/>
    <cellStyle name="Normal 12 2 3 3 5" xfId="18168" xr:uid="{C6461410-3966-4C68-A87D-5DD6920E1A72}"/>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73FA6540-DA13-4736-ACC3-4C8F4C2584B0}"/>
    <cellStyle name="Normal 12 2 3 4 2 2 3" xfId="24943" xr:uid="{49042974-E5A0-4672-9530-EE98180D4D73}"/>
    <cellStyle name="Normal 12 2 3 4 2 3" xfId="12285" xr:uid="{86C34717-50D2-4AD0-8083-59DC5F917808}"/>
    <cellStyle name="Normal 12 2 3 4 2 4" xfId="20726" xr:uid="{B45FE8A9-568E-4513-979D-C8B3F1294691}"/>
    <cellStyle name="Normal 12 2 3 4 3" xfId="5908" xr:uid="{00000000-0005-0000-0000-0000020E0000}"/>
    <cellStyle name="Normal 12 2 3 4 3 2" xfId="14358" xr:uid="{AB4C8D74-1CCE-4007-875E-14BC3B8751ED}"/>
    <cellStyle name="Normal 12 2 3 4 3 3" xfId="22798" xr:uid="{F4105030-0927-4289-8969-BEBF0EFDEF60}"/>
    <cellStyle name="Normal 12 2 3 4 4" xfId="10140" xr:uid="{4D0E4F03-2D2F-44CC-9A0E-8B7B1303F622}"/>
    <cellStyle name="Normal 12 2 3 4 5" xfId="18581" xr:uid="{B7A2B140-8FE0-4E5A-8F98-413B9743D99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86BD6AEE-3F63-4BF3-B083-DFDDFE0BD988}"/>
    <cellStyle name="Normal 12 2 3 5 2 2 3" xfId="25356" xr:uid="{5B6979F7-7C61-425D-A65F-62C03381DD79}"/>
    <cellStyle name="Normal 12 2 3 5 2 3" xfId="12698" xr:uid="{97864556-D6A8-467A-BB4A-4E1ED2A74DF4}"/>
    <cellStyle name="Normal 12 2 3 5 2 4" xfId="21139" xr:uid="{97C5EE25-B463-4398-994F-03062BC81E88}"/>
    <cellStyle name="Normal 12 2 3 5 3" xfId="6321" xr:uid="{00000000-0005-0000-0000-0000060E0000}"/>
    <cellStyle name="Normal 12 2 3 5 3 2" xfId="14771" xr:uid="{8FD57A0C-B73F-473B-981A-2E77C485268B}"/>
    <cellStyle name="Normal 12 2 3 5 3 3" xfId="23211" xr:uid="{83340915-0223-4A22-93B5-589F0BCA7043}"/>
    <cellStyle name="Normal 12 2 3 5 4" xfId="10553" xr:uid="{E5A483A3-2462-4227-B68B-27CB37F4D851}"/>
    <cellStyle name="Normal 12 2 3 5 5" xfId="18994" xr:uid="{5E63BB79-3922-423A-9C0A-41DF3E101A17}"/>
    <cellStyle name="Normal 12 2 3 6" xfId="2451" xr:uid="{00000000-0005-0000-0000-0000070E0000}"/>
    <cellStyle name="Normal 12 2 3 6 2" xfId="6734" xr:uid="{00000000-0005-0000-0000-0000080E0000}"/>
    <cellStyle name="Normal 12 2 3 6 2 2" xfId="15184" xr:uid="{FE5672F8-FCC0-429A-972D-CBA800429C9A}"/>
    <cellStyle name="Normal 12 2 3 6 2 3" xfId="23624" xr:uid="{86081720-4EA3-44EF-8D7D-6BCE988DB43C}"/>
    <cellStyle name="Normal 12 2 3 6 3" xfId="10966" xr:uid="{973D675F-474C-42D0-9623-EE70B90F33A0}"/>
    <cellStyle name="Normal 12 2 3 6 4" xfId="19407" xr:uid="{37C22138-2816-4362-AE5C-2ACF74B5420A}"/>
    <cellStyle name="Normal 12 2 3 7" xfId="4668" xr:uid="{00000000-0005-0000-0000-0000090E0000}"/>
    <cellStyle name="Normal 12 2 3 7 2" xfId="13118" xr:uid="{14F4C97A-765D-4B92-AC40-8EDB1EA37710}"/>
    <cellStyle name="Normal 12 2 3 7 3" xfId="21558" xr:uid="{B017214F-4564-4507-B621-40A42958B3D1}"/>
    <cellStyle name="Normal 12 2 3 8" xfId="8900" xr:uid="{DD8C9BB1-F762-4B09-B2A1-4F50AA80C532}"/>
    <cellStyle name="Normal 12 2 3 9" xfId="17341" xr:uid="{82C5F555-B416-4F6D-BC2F-AD71FC6F9AA3}"/>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DA6B061C-3B27-4AB9-B158-37E8A27E9906}"/>
    <cellStyle name="Normal 12 2 4 2 2 3" xfId="24114" xr:uid="{ADEB066C-F59E-4161-94A4-A26D98229189}"/>
    <cellStyle name="Normal 12 2 4 2 3" xfId="11456" xr:uid="{C95213D7-760F-44C1-88BA-DB4919C4AFF9}"/>
    <cellStyle name="Normal 12 2 4 2 4" xfId="19897" xr:uid="{3F31DC06-CA08-4579-BA27-37F8F6FCE79A}"/>
    <cellStyle name="Normal 12 2 4 3" xfId="5079" xr:uid="{00000000-0005-0000-0000-00000D0E0000}"/>
    <cellStyle name="Normal 12 2 4 3 2" xfId="13529" xr:uid="{82EEA962-D8BE-448E-8A1E-9F53CE708B2E}"/>
    <cellStyle name="Normal 12 2 4 3 3" xfId="21969" xr:uid="{B3FD7322-8294-482F-9986-199BB7BCF124}"/>
    <cellStyle name="Normal 12 2 4 4" xfId="9311" xr:uid="{06576D1D-FEA1-45F3-B294-DE7F59B509FE}"/>
    <cellStyle name="Normal 12 2 4 5" xfId="17752" xr:uid="{C1A29ABC-C77B-4775-8968-7FA5BEB5F642}"/>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E43DFF82-BCC6-42BE-9BE8-324A89D0F7B0}"/>
    <cellStyle name="Normal 12 2 5 2 2 3" xfId="24527" xr:uid="{D73F8E2F-AA0E-4156-A906-99FF2ECF2E53}"/>
    <cellStyle name="Normal 12 2 5 2 3" xfId="11869" xr:uid="{7F697EF3-1EDB-47B3-AF6C-B2736A414756}"/>
    <cellStyle name="Normal 12 2 5 2 4" xfId="20310" xr:uid="{045611AD-82B0-4EE6-AB70-6DE865D541B2}"/>
    <cellStyle name="Normal 12 2 5 3" xfId="5492" xr:uid="{00000000-0005-0000-0000-0000110E0000}"/>
    <cellStyle name="Normal 12 2 5 3 2" xfId="13942" xr:uid="{CF915130-CC92-4A44-B01A-FF7626F0121B}"/>
    <cellStyle name="Normal 12 2 5 3 3" xfId="22382" xr:uid="{23777EE7-67E1-426C-BA42-5412C98694BA}"/>
    <cellStyle name="Normal 12 2 5 4" xfId="9724" xr:uid="{0DFCCD4E-7B19-4E2A-B2BF-E1748908CBED}"/>
    <cellStyle name="Normal 12 2 5 5" xfId="18165" xr:uid="{FBCEDFC5-F2D6-490C-9F05-F4CC56C805D8}"/>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D4D8B02E-3624-4CD6-94F1-F8056D67E6F1}"/>
    <cellStyle name="Normal 12 2 6 2 2 3" xfId="24940" xr:uid="{D9DE79DA-7E81-415F-A284-A4B76A6820F6}"/>
    <cellStyle name="Normal 12 2 6 2 3" xfId="12282" xr:uid="{D2BCFED0-B545-470C-8894-A32D56D03C50}"/>
    <cellStyle name="Normal 12 2 6 2 4" xfId="20723" xr:uid="{BB2AFAF8-D81D-4359-BE33-FF4D2F5FBE3C}"/>
    <cellStyle name="Normal 12 2 6 3" xfId="5905" xr:uid="{00000000-0005-0000-0000-0000150E0000}"/>
    <cellStyle name="Normal 12 2 6 3 2" xfId="14355" xr:uid="{4B64A178-43CC-4A0E-B219-8601B7A8B64E}"/>
    <cellStyle name="Normal 12 2 6 3 3" xfId="22795" xr:uid="{D2610B44-C60F-424A-B29D-929CE431E63F}"/>
    <cellStyle name="Normal 12 2 6 4" xfId="10137" xr:uid="{6C5CEB40-3439-40EE-84A8-F8527BDAE268}"/>
    <cellStyle name="Normal 12 2 6 5" xfId="18578" xr:uid="{F0C94AB1-845C-404A-BA99-5CC2F6949D79}"/>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AE454600-64A5-46F4-8B15-3F5E38C59BC2}"/>
    <cellStyle name="Normal 12 2 7 2 2 3" xfId="25353" xr:uid="{771558A2-3685-4848-9776-1C9254D80F52}"/>
    <cellStyle name="Normal 12 2 7 2 3" xfId="12695" xr:uid="{B2DF7260-9C16-4C10-9740-9490D20C415D}"/>
    <cellStyle name="Normal 12 2 7 2 4" xfId="21136" xr:uid="{2C2A52FB-6F32-4333-8220-A306B61BE11A}"/>
    <cellStyle name="Normal 12 2 7 3" xfId="6318" xr:uid="{00000000-0005-0000-0000-0000190E0000}"/>
    <cellStyle name="Normal 12 2 7 3 2" xfId="14768" xr:uid="{CCBE7B79-8BBF-4748-9262-35B0C6D52DE0}"/>
    <cellStyle name="Normal 12 2 7 3 3" xfId="23208" xr:uid="{43048E56-CD30-45D7-B08A-7E68069EF8C3}"/>
    <cellStyle name="Normal 12 2 7 4" xfId="10550" xr:uid="{0DF34923-850A-4862-9DC1-AF56F37ED516}"/>
    <cellStyle name="Normal 12 2 7 5" xfId="18991" xr:uid="{E6F2533D-7506-4E98-B6C6-1472EC5C130F}"/>
    <cellStyle name="Normal 12 2 8" xfId="2448" xr:uid="{00000000-0005-0000-0000-00001A0E0000}"/>
    <cellStyle name="Normal 12 2 8 2" xfId="6731" xr:uid="{00000000-0005-0000-0000-00001B0E0000}"/>
    <cellStyle name="Normal 12 2 8 2 2" xfId="15181" xr:uid="{14B045FE-27A4-45E9-B416-3C8290B540F4}"/>
    <cellStyle name="Normal 12 2 8 2 3" xfId="23621" xr:uid="{9C117CBF-1643-4A83-971C-54CBAC02EB10}"/>
    <cellStyle name="Normal 12 2 8 3" xfId="10963" xr:uid="{1387F12B-5B41-4470-806C-EC73501D0265}"/>
    <cellStyle name="Normal 12 2 8 4" xfId="19404" xr:uid="{B2C118DE-65F4-46E6-A216-54B52671B7E7}"/>
    <cellStyle name="Normal 12 2 9" xfId="4665" xr:uid="{00000000-0005-0000-0000-00001C0E0000}"/>
    <cellStyle name="Normal 12 2 9 2" xfId="13115" xr:uid="{6B2B1782-731A-40B3-B2BC-838635EE8E7A}"/>
    <cellStyle name="Normal 12 2 9 3" xfId="21555" xr:uid="{A1526E56-BB82-4E7D-95B8-9BAC1E8455DD}"/>
    <cellStyle name="Normal 12 3" xfId="264" xr:uid="{00000000-0005-0000-0000-00001D0E0000}"/>
    <cellStyle name="Normal 12 3 10" xfId="17342" xr:uid="{A6FB84D5-2619-4142-8BDB-F0B6E20050F7}"/>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53CF525E-C606-4B8C-98B4-9661D2B97AB7}"/>
    <cellStyle name="Normal 12 3 2 2 2 2 3" xfId="24119" xr:uid="{A0E2BA8E-1ABD-47F0-B2C1-76FEC831BAC9}"/>
    <cellStyle name="Normal 12 3 2 2 2 3" xfId="11461" xr:uid="{B15BB21E-E824-49F8-A9B8-F76A84BD6BC6}"/>
    <cellStyle name="Normal 12 3 2 2 2 4" xfId="19902" xr:uid="{434A3532-02E8-4941-9830-7C04B0EE4060}"/>
    <cellStyle name="Normal 12 3 2 2 3" xfId="5084" xr:uid="{00000000-0005-0000-0000-0000220E0000}"/>
    <cellStyle name="Normal 12 3 2 2 3 2" xfId="13534" xr:uid="{B8153B62-8456-4C41-B3C6-FAF1364939BE}"/>
    <cellStyle name="Normal 12 3 2 2 3 3" xfId="21974" xr:uid="{7D4DF964-2F83-4D72-BF90-A1E18A684292}"/>
    <cellStyle name="Normal 12 3 2 2 4" xfId="9316" xr:uid="{5ADCB0D5-5889-48CD-8480-58FB34D3150F}"/>
    <cellStyle name="Normal 12 3 2 2 5" xfId="17757" xr:uid="{7B6DC2CB-1D4B-4BBD-8525-FEBD05DE271C}"/>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35C6E000-9227-46F5-A2CF-701B77BF3738}"/>
    <cellStyle name="Normal 12 3 2 3 2 2 3" xfId="24532" xr:uid="{3FD3DB17-EAEB-4976-AFC1-7AC47E332481}"/>
    <cellStyle name="Normal 12 3 2 3 2 3" xfId="11874" xr:uid="{A35EA6FD-0467-4530-8B19-A8798EF99F42}"/>
    <cellStyle name="Normal 12 3 2 3 2 4" xfId="20315" xr:uid="{D6F2758C-4798-411A-9450-C69EBEABA01C}"/>
    <cellStyle name="Normal 12 3 2 3 3" xfId="5497" xr:uid="{00000000-0005-0000-0000-0000260E0000}"/>
    <cellStyle name="Normal 12 3 2 3 3 2" xfId="13947" xr:uid="{089B93A1-1D2B-4F88-B57B-174FB4F061A1}"/>
    <cellStyle name="Normal 12 3 2 3 3 3" xfId="22387" xr:uid="{024440AD-D883-45F0-AE0E-C27E7890CF4B}"/>
    <cellStyle name="Normal 12 3 2 3 4" xfId="9729" xr:uid="{2D2B2AEA-F85B-4808-92DB-1249B8D90DC7}"/>
    <cellStyle name="Normal 12 3 2 3 5" xfId="18170" xr:uid="{B27A54DF-7783-4C40-AEEC-3B445ED4D894}"/>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8052542-7041-4F69-883E-78A5D883EE29}"/>
    <cellStyle name="Normal 12 3 2 4 2 2 3" xfId="24945" xr:uid="{FB07BF35-20D5-4908-A321-D653C5E47F46}"/>
    <cellStyle name="Normal 12 3 2 4 2 3" xfId="12287" xr:uid="{A98E6F41-9E1E-42A8-A67A-637ECF1DC1D5}"/>
    <cellStyle name="Normal 12 3 2 4 2 4" xfId="20728" xr:uid="{2FD15288-1113-4366-A098-6709E0A8F858}"/>
    <cellStyle name="Normal 12 3 2 4 3" xfId="5910" xr:uid="{00000000-0005-0000-0000-00002A0E0000}"/>
    <cellStyle name="Normal 12 3 2 4 3 2" xfId="14360" xr:uid="{EFA4A890-BBE8-48CA-9A9E-9BFFFDCD4604}"/>
    <cellStyle name="Normal 12 3 2 4 3 3" xfId="22800" xr:uid="{5B5E970A-CF17-44ED-A14F-88BE3D0C5C3F}"/>
    <cellStyle name="Normal 12 3 2 4 4" xfId="10142" xr:uid="{4CA90494-20D4-403D-BCFD-38FB90F4F428}"/>
    <cellStyle name="Normal 12 3 2 4 5" xfId="18583" xr:uid="{75905F6B-EA25-4494-A7F5-7B8370AE9B7E}"/>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CB0BECEF-9311-4C18-92CE-C873E2FB7E89}"/>
    <cellStyle name="Normal 12 3 2 5 2 2 3" xfId="25358" xr:uid="{14F9E0C1-BEAB-4593-978B-5FBE8D2C8219}"/>
    <cellStyle name="Normal 12 3 2 5 2 3" xfId="12700" xr:uid="{0F904368-86FF-45B0-A450-C0BF35D1D766}"/>
    <cellStyle name="Normal 12 3 2 5 2 4" xfId="21141" xr:uid="{183E025C-214F-4AE9-BAC7-811520DC771D}"/>
    <cellStyle name="Normal 12 3 2 5 3" xfId="6323" xr:uid="{00000000-0005-0000-0000-00002E0E0000}"/>
    <cellStyle name="Normal 12 3 2 5 3 2" xfId="14773" xr:uid="{2955DF19-34A4-4330-B0DB-4E19CBEA4833}"/>
    <cellStyle name="Normal 12 3 2 5 3 3" xfId="23213" xr:uid="{B3A5238F-1727-4E6A-A977-DFDBF076C110}"/>
    <cellStyle name="Normal 12 3 2 5 4" xfId="10555" xr:uid="{F6E89475-75EE-4575-903D-C887C998D66C}"/>
    <cellStyle name="Normal 12 3 2 5 5" xfId="18996" xr:uid="{98A3A798-1B20-4EB2-8638-4CB2AEA6C838}"/>
    <cellStyle name="Normal 12 3 2 6" xfId="2453" xr:uid="{00000000-0005-0000-0000-00002F0E0000}"/>
    <cellStyle name="Normal 12 3 2 6 2" xfId="6736" xr:uid="{00000000-0005-0000-0000-0000300E0000}"/>
    <cellStyle name="Normal 12 3 2 6 2 2" xfId="15186" xr:uid="{B8D812D6-EB44-4BC0-B5E8-3AF13ACC2093}"/>
    <cellStyle name="Normal 12 3 2 6 2 3" xfId="23626" xr:uid="{55ACF68A-0FF4-40BD-9199-A85069A7FE0D}"/>
    <cellStyle name="Normal 12 3 2 6 3" xfId="10968" xr:uid="{434D7343-5954-4183-9356-BBBF54896E26}"/>
    <cellStyle name="Normal 12 3 2 6 4" xfId="19409" xr:uid="{E93EF725-6DC9-4B92-97A3-091A9478DD71}"/>
    <cellStyle name="Normal 12 3 2 7" xfId="4670" xr:uid="{00000000-0005-0000-0000-0000310E0000}"/>
    <cellStyle name="Normal 12 3 2 7 2" xfId="13120" xr:uid="{F6925744-2225-4569-A515-7DA362D75444}"/>
    <cellStyle name="Normal 12 3 2 7 3" xfId="21560" xr:uid="{39DCA0C9-B260-464D-8AF3-ADB12E192ACA}"/>
    <cellStyle name="Normal 12 3 2 8" xfId="8902" xr:uid="{5E230133-3F2E-4BF4-8DC3-1B7B40219623}"/>
    <cellStyle name="Normal 12 3 2 9" xfId="17343" xr:uid="{F7C9480A-7252-43BD-90CE-001B5EBCEB78}"/>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B088A7F4-D82B-40F8-9765-FFBAA05ECA35}"/>
    <cellStyle name="Normal 12 3 3 2 2 3" xfId="24118" xr:uid="{92BA83E1-9380-4E58-8918-B9D9912BB2AB}"/>
    <cellStyle name="Normal 12 3 3 2 3" xfId="11460" xr:uid="{423175A1-8C2D-4C9B-A01C-7664771BF796}"/>
    <cellStyle name="Normal 12 3 3 2 4" xfId="19901" xr:uid="{4E4CCD24-63A6-4E25-BA83-A6E1AB28F19F}"/>
    <cellStyle name="Normal 12 3 3 3" xfId="5083" xr:uid="{00000000-0005-0000-0000-0000350E0000}"/>
    <cellStyle name="Normal 12 3 3 3 2" xfId="13533" xr:uid="{5D54151D-B05D-4897-ACF6-018916B9E259}"/>
    <cellStyle name="Normal 12 3 3 3 3" xfId="21973" xr:uid="{FD1826B3-2673-4FF8-A9E3-C2ED59BDCB07}"/>
    <cellStyle name="Normal 12 3 3 4" xfId="9315" xr:uid="{D42C790B-3A77-4371-94D9-4B2FE8DB2E5B}"/>
    <cellStyle name="Normal 12 3 3 5" xfId="17756" xr:uid="{8D1CA52E-1BB2-4B38-A768-4D3547532E6E}"/>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8C115059-9481-4EAB-A323-528E3DF2285D}"/>
    <cellStyle name="Normal 12 3 4 2 2 3" xfId="24531" xr:uid="{C5E12574-5668-4875-A13E-A323B0359185}"/>
    <cellStyle name="Normal 12 3 4 2 3" xfId="11873" xr:uid="{F4B3A34A-C502-480E-BEC3-7503F80342F2}"/>
    <cellStyle name="Normal 12 3 4 2 4" xfId="20314" xr:uid="{CBE5DAF9-2538-49D0-A05C-BE78F08922FC}"/>
    <cellStyle name="Normal 12 3 4 3" xfId="5496" xr:uid="{00000000-0005-0000-0000-0000390E0000}"/>
    <cellStyle name="Normal 12 3 4 3 2" xfId="13946" xr:uid="{48C7CDE9-E313-42F0-99FA-C2393ECBB8EC}"/>
    <cellStyle name="Normal 12 3 4 3 3" xfId="22386" xr:uid="{57650A3E-F5AF-4E6B-A2D8-6279D4D4D92D}"/>
    <cellStyle name="Normal 12 3 4 4" xfId="9728" xr:uid="{898553E0-5ED2-4B20-B7D3-C954B0AE660C}"/>
    <cellStyle name="Normal 12 3 4 5" xfId="18169" xr:uid="{91436D66-EA19-40DC-8D47-2B01AD41D376}"/>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632F73B7-1912-436F-ADF2-220C3E47FDDE}"/>
    <cellStyle name="Normal 12 3 5 2 2 3" xfId="24944" xr:uid="{C3E21FB7-0D56-4285-B04D-C7B93FEDB467}"/>
    <cellStyle name="Normal 12 3 5 2 3" xfId="12286" xr:uid="{6D6EA3E2-3130-4BF9-BCF5-8D7C4481CB24}"/>
    <cellStyle name="Normal 12 3 5 2 4" xfId="20727" xr:uid="{11455C10-27BB-46ED-B045-F1DA19849EBE}"/>
    <cellStyle name="Normal 12 3 5 3" xfId="5909" xr:uid="{00000000-0005-0000-0000-00003D0E0000}"/>
    <cellStyle name="Normal 12 3 5 3 2" xfId="14359" xr:uid="{9D01BB2E-DD05-488B-890D-76374963A189}"/>
    <cellStyle name="Normal 12 3 5 3 3" xfId="22799" xr:uid="{6FE7905F-80F6-43FE-BA0C-FF699B3987CD}"/>
    <cellStyle name="Normal 12 3 5 4" xfId="10141" xr:uid="{B12E90E3-5C85-4BAF-AFA1-6523A480C095}"/>
    <cellStyle name="Normal 12 3 5 5" xfId="18582" xr:uid="{4A03B1CC-D0D3-4A2D-BB3A-AD1898681202}"/>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444C5A58-6C59-490A-8B0C-C1990BB8CABB}"/>
    <cellStyle name="Normal 12 3 6 2 2 3" xfId="25357" xr:uid="{4C8E2F02-F247-4354-A37B-E63111B30545}"/>
    <cellStyle name="Normal 12 3 6 2 3" xfId="12699" xr:uid="{E8559368-DA60-4C3D-9293-4A095EF281B9}"/>
    <cellStyle name="Normal 12 3 6 2 4" xfId="21140" xr:uid="{CBFA68BD-DFE2-4E33-8267-5AA444F1D2F6}"/>
    <cellStyle name="Normal 12 3 6 3" xfId="6322" xr:uid="{00000000-0005-0000-0000-0000410E0000}"/>
    <cellStyle name="Normal 12 3 6 3 2" xfId="14772" xr:uid="{E23A01CF-FDDF-4FF4-A2D4-B715DEF28536}"/>
    <cellStyle name="Normal 12 3 6 3 3" xfId="23212" xr:uid="{D39CE306-1D01-4C1A-8AFF-8C518F248EF1}"/>
    <cellStyle name="Normal 12 3 6 4" xfId="10554" xr:uid="{122BB210-4720-40BC-987D-28BD6FF743C8}"/>
    <cellStyle name="Normal 12 3 6 5" xfId="18995" xr:uid="{3A43FDCC-521A-4AA8-A379-BDA8F51863B8}"/>
    <cellStyle name="Normal 12 3 7" xfId="2452" xr:uid="{00000000-0005-0000-0000-0000420E0000}"/>
    <cellStyle name="Normal 12 3 7 2" xfId="6735" xr:uid="{00000000-0005-0000-0000-0000430E0000}"/>
    <cellStyle name="Normal 12 3 7 2 2" xfId="15185" xr:uid="{6249F585-0F8D-4A34-BDEE-FB9582700284}"/>
    <cellStyle name="Normal 12 3 7 2 3" xfId="23625" xr:uid="{7E68BEAD-6833-4D0C-8285-E4295FA55D08}"/>
    <cellStyle name="Normal 12 3 7 3" xfId="10967" xr:uid="{C047B1BE-BAE7-43C1-BF53-03EABE3CA086}"/>
    <cellStyle name="Normal 12 3 7 4" xfId="19408" xr:uid="{3A0F6F25-9FEE-490B-B375-9216A7D84277}"/>
    <cellStyle name="Normal 12 3 8" xfId="4669" xr:uid="{00000000-0005-0000-0000-0000440E0000}"/>
    <cellStyle name="Normal 12 3 8 2" xfId="13119" xr:uid="{F9C66755-272D-4FFB-9A81-56E56D79CFBB}"/>
    <cellStyle name="Normal 12 3 8 3" xfId="21559" xr:uid="{BF55F03D-3648-4117-8A0F-8150806D5800}"/>
    <cellStyle name="Normal 12 3 9" xfId="8901" xr:uid="{3F25A393-047A-4760-BC78-7BFCC52723D2}"/>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11D7FC13-3F8B-4CBB-A78B-3EDEFF996CAC}"/>
    <cellStyle name="Normal 12 4 2 2 2 3" xfId="24120" xr:uid="{70C7BDC9-E1F3-4157-9026-C3FE70B097D2}"/>
    <cellStyle name="Normal 12 4 2 2 3" xfId="11462" xr:uid="{BA709FDB-ECF8-44D8-87D5-B22327CED54F}"/>
    <cellStyle name="Normal 12 4 2 2 4" xfId="19903" xr:uid="{19B877BE-2BF5-4D53-A684-ED9BD5FDD6D6}"/>
    <cellStyle name="Normal 12 4 2 3" xfId="5085" xr:uid="{00000000-0005-0000-0000-0000490E0000}"/>
    <cellStyle name="Normal 12 4 2 3 2" xfId="13535" xr:uid="{323E19A1-C575-45CC-ABCD-3668A04F2CE1}"/>
    <cellStyle name="Normal 12 4 2 3 3" xfId="21975" xr:uid="{356FE44C-5BB3-42CD-AA58-86D302B758AC}"/>
    <cellStyle name="Normal 12 4 2 4" xfId="9317" xr:uid="{7C00ACC8-2741-41DD-8BE5-C8A06B17D11B}"/>
    <cellStyle name="Normal 12 4 2 5" xfId="17758" xr:uid="{DDD92E93-4DD4-474D-B023-C3CE8BAC2F4F}"/>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476E5417-DB27-43B4-A10C-D63A4485A9F4}"/>
    <cellStyle name="Normal 12 4 3 2 2 3" xfId="24533" xr:uid="{025C33FB-ABCF-4D4E-89C8-5530E1DB08A9}"/>
    <cellStyle name="Normal 12 4 3 2 3" xfId="11875" xr:uid="{79C9F546-724A-49BB-B23D-11E69DB00A2D}"/>
    <cellStyle name="Normal 12 4 3 2 4" xfId="20316" xr:uid="{C89FA885-AA51-43A3-A079-9665ECDEB9A1}"/>
    <cellStyle name="Normal 12 4 3 3" xfId="5498" xr:uid="{00000000-0005-0000-0000-00004D0E0000}"/>
    <cellStyle name="Normal 12 4 3 3 2" xfId="13948" xr:uid="{F8A95352-817A-40E6-8116-24F6993EDA7A}"/>
    <cellStyle name="Normal 12 4 3 3 3" xfId="22388" xr:uid="{3D65FB8A-4B9E-4055-9469-2382865FF56C}"/>
    <cellStyle name="Normal 12 4 3 4" xfId="9730" xr:uid="{252E2016-1537-4CA9-A700-73543825D60B}"/>
    <cellStyle name="Normal 12 4 3 5" xfId="18171" xr:uid="{830033F7-E888-428D-B1EB-C4D66DA2301A}"/>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76B074BB-F246-4F8F-9B80-268B6B7CF377}"/>
    <cellStyle name="Normal 12 4 4 2 2 3" xfId="24946" xr:uid="{52BF9466-2549-44E0-AFF8-2C13417105A4}"/>
    <cellStyle name="Normal 12 4 4 2 3" xfId="12288" xr:uid="{FE303042-31E0-40FD-86E5-07DDAF98B13D}"/>
    <cellStyle name="Normal 12 4 4 2 4" xfId="20729" xr:uid="{49F6E68A-113B-4D03-A196-D415B3A83C95}"/>
    <cellStyle name="Normal 12 4 4 3" xfId="5911" xr:uid="{00000000-0005-0000-0000-0000510E0000}"/>
    <cellStyle name="Normal 12 4 4 3 2" xfId="14361" xr:uid="{704239AB-15F2-4EBA-93CA-E792A216E7E0}"/>
    <cellStyle name="Normal 12 4 4 3 3" xfId="22801" xr:uid="{C4F8B74D-84B2-46F4-9D0A-059A0DE94F67}"/>
    <cellStyle name="Normal 12 4 4 4" xfId="10143" xr:uid="{F7607821-0774-46CA-A4DB-30A794D60D16}"/>
    <cellStyle name="Normal 12 4 4 5" xfId="18584" xr:uid="{0E733E95-ABCF-48E0-8E9A-F77172C2996D}"/>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2B1BC9E5-A1E3-4306-ABD2-1A9EFB87A507}"/>
    <cellStyle name="Normal 12 4 5 2 2 3" xfId="25359" xr:uid="{73AD23E5-ABD7-4FBA-AC5F-B04CF079E7F8}"/>
    <cellStyle name="Normal 12 4 5 2 3" xfId="12701" xr:uid="{0AEFC2ED-DDC7-46B6-AC5B-006F159B8CB8}"/>
    <cellStyle name="Normal 12 4 5 2 4" xfId="21142" xr:uid="{8517A533-D910-48BF-AA7C-BC12D7C1DD71}"/>
    <cellStyle name="Normal 12 4 5 3" xfId="6324" xr:uid="{00000000-0005-0000-0000-0000550E0000}"/>
    <cellStyle name="Normal 12 4 5 3 2" xfId="14774" xr:uid="{03065099-870A-4A24-AB10-95DC4A6EC84C}"/>
    <cellStyle name="Normal 12 4 5 3 3" xfId="23214" xr:uid="{32B82B86-8331-44B9-BD67-180359ABC0FD}"/>
    <cellStyle name="Normal 12 4 5 4" xfId="10556" xr:uid="{6DD4569D-BDB3-4A12-B014-C5F198C5A88E}"/>
    <cellStyle name="Normal 12 4 5 5" xfId="18997" xr:uid="{AD011596-ABDC-4810-B5A2-E31F26A133F7}"/>
    <cellStyle name="Normal 12 4 6" xfId="2454" xr:uid="{00000000-0005-0000-0000-0000560E0000}"/>
    <cellStyle name="Normal 12 4 6 2" xfId="6737" xr:uid="{00000000-0005-0000-0000-0000570E0000}"/>
    <cellStyle name="Normal 12 4 6 2 2" xfId="15187" xr:uid="{727340F1-2EA9-49B6-BB3C-221CE531AE03}"/>
    <cellStyle name="Normal 12 4 6 2 3" xfId="23627" xr:uid="{34D0CE9C-085B-4DE6-AA86-6F789964B55A}"/>
    <cellStyle name="Normal 12 4 6 3" xfId="10969" xr:uid="{CFB835D1-8BC4-4CF4-8D28-D98A07B141B3}"/>
    <cellStyle name="Normal 12 4 6 4" xfId="19410" xr:uid="{656290AF-924B-493B-81E6-CE72FB116535}"/>
    <cellStyle name="Normal 12 4 7" xfId="4671" xr:uid="{00000000-0005-0000-0000-0000580E0000}"/>
    <cellStyle name="Normal 12 4 7 2" xfId="13121" xr:uid="{7AA819B5-C408-46F5-B85C-C4A509AA2132}"/>
    <cellStyle name="Normal 12 4 7 3" xfId="21561" xr:uid="{CAA2F46A-571C-4FD5-9E70-A5DDDF6995B7}"/>
    <cellStyle name="Normal 12 4 8" xfId="8903" xr:uid="{2D422A87-7F54-43ED-B69E-AB312074FE08}"/>
    <cellStyle name="Normal 12 4 9" xfId="17344" xr:uid="{DFB05650-8D41-48C0-81D4-F1CB44BD0A42}"/>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99285CAD-B77D-4C89-8949-7C508CFA67A2}"/>
    <cellStyle name="Normal 12 6 2 2 3" xfId="24113" xr:uid="{C1093989-A23D-413D-9726-34C963C3708C}"/>
    <cellStyle name="Normal 12 6 2 3" xfId="11455" xr:uid="{8214DCB9-3583-4BCF-9A73-152722D9D79A}"/>
    <cellStyle name="Normal 12 6 2 4" xfId="19896" xr:uid="{24C14994-4ABC-4560-8079-5F43F31896F3}"/>
    <cellStyle name="Normal 12 6 3" xfId="5078" xr:uid="{00000000-0005-0000-0000-00005D0E0000}"/>
    <cellStyle name="Normal 12 6 3 2" xfId="13528" xr:uid="{0FFF2E46-348A-4964-9D9C-BA71D89051B6}"/>
    <cellStyle name="Normal 12 6 3 3" xfId="21968" xr:uid="{5144B85B-AB93-448E-87BE-E068CC291BDA}"/>
    <cellStyle name="Normal 12 6 4" xfId="9310" xr:uid="{96C2DE42-3010-4DF6-983D-3D76DFA3F9EA}"/>
    <cellStyle name="Normal 12 6 5" xfId="17751" xr:uid="{38A1CF91-B3C1-4C71-9702-0EBAB7C30C07}"/>
    <cellStyle name="Normal 12 7" xfId="1183" xr:uid="{00000000-0005-0000-0000-00005E0E0000}"/>
    <cellStyle name="Normal 12 7 2" xfId="3414" xr:uid="{00000000-0005-0000-0000-00005F0E0000}"/>
    <cellStyle name="Normal 12 7 2 2" xfId="7636" xr:uid="{00000000-0005-0000-0000-0000600E0000}"/>
    <cellStyle name="Normal 12 7 2 2 2" xfId="16086" xr:uid="{4EAE2B73-3593-4205-802E-75C55935DFCD}"/>
    <cellStyle name="Normal 12 7 2 2 3" xfId="24526" xr:uid="{6721A244-5119-4E98-A59F-49E7DA24658C}"/>
    <cellStyle name="Normal 12 7 2 3" xfId="11868" xr:uid="{249B9767-74FE-425D-AD52-B464D3307412}"/>
    <cellStyle name="Normal 12 7 2 4" xfId="20309" xr:uid="{2EC00FF4-D0C7-4142-B7BB-DD586723BB9C}"/>
    <cellStyle name="Normal 12 7 3" xfId="5491" xr:uid="{00000000-0005-0000-0000-0000610E0000}"/>
    <cellStyle name="Normal 12 7 3 2" xfId="13941" xr:uid="{2C927CF9-513A-400B-9228-7C4119E8A796}"/>
    <cellStyle name="Normal 12 7 3 3" xfId="22381" xr:uid="{7E4357F5-0628-4CF0-B4E1-2281E409C422}"/>
    <cellStyle name="Normal 12 7 4" xfId="9723" xr:uid="{13C221DB-FEA0-4DB8-953F-5EE53B08AB94}"/>
    <cellStyle name="Normal 12 7 5" xfId="18164" xr:uid="{5AB83AC5-D6FD-4889-9328-25DB136E79B0}"/>
    <cellStyle name="Normal 12 8" xfId="1597" xr:uid="{00000000-0005-0000-0000-0000620E0000}"/>
    <cellStyle name="Normal 12 8 2" xfId="3827" xr:uid="{00000000-0005-0000-0000-0000630E0000}"/>
    <cellStyle name="Normal 12 8 2 2" xfId="8049" xr:uid="{00000000-0005-0000-0000-0000640E0000}"/>
    <cellStyle name="Normal 12 8 2 2 2" xfId="16499" xr:uid="{FF9B9E51-583C-491B-8F48-3B8C44F97A81}"/>
    <cellStyle name="Normal 12 8 2 2 3" xfId="24939" xr:uid="{C0784A3A-88BF-4165-842C-FB12F7A3AF33}"/>
    <cellStyle name="Normal 12 8 2 3" xfId="12281" xr:uid="{26A39483-2A85-4664-9EDC-B7C6D26CADF0}"/>
    <cellStyle name="Normal 12 8 2 4" xfId="20722" xr:uid="{29A06EDC-EC8A-4B2F-A51B-D9115A664613}"/>
    <cellStyle name="Normal 12 8 3" xfId="5904" xr:uid="{00000000-0005-0000-0000-0000650E0000}"/>
    <cellStyle name="Normal 12 8 3 2" xfId="14354" xr:uid="{2256D4C7-F50A-4ECE-BBCC-25FA3046CFFF}"/>
    <cellStyle name="Normal 12 8 3 3" xfId="22794" xr:uid="{010B4FDB-A56B-45C1-A45C-CB44C414324D}"/>
    <cellStyle name="Normal 12 8 4" xfId="10136" xr:uid="{3A6721EB-7158-4994-8809-044B995B35A9}"/>
    <cellStyle name="Normal 12 8 5" xfId="18577" xr:uid="{E39EA770-9183-4A31-932E-25D03C25F886}"/>
    <cellStyle name="Normal 12 9" xfId="2011" xr:uid="{00000000-0005-0000-0000-0000660E0000}"/>
    <cellStyle name="Normal 12 9 2" xfId="4240" xr:uid="{00000000-0005-0000-0000-0000670E0000}"/>
    <cellStyle name="Normal 12 9 2 2" xfId="8462" xr:uid="{00000000-0005-0000-0000-0000680E0000}"/>
    <cellStyle name="Normal 12 9 2 2 2" xfId="16912" xr:uid="{E0C54E54-01F9-4F9D-9CEA-4936321FA500}"/>
    <cellStyle name="Normal 12 9 2 2 3" xfId="25352" xr:uid="{73A62576-9D0F-4D71-AADC-0810E643AC4F}"/>
    <cellStyle name="Normal 12 9 2 3" xfId="12694" xr:uid="{07CE724D-0F27-46D4-95D3-2A46B2EBCF02}"/>
    <cellStyle name="Normal 12 9 2 4" xfId="21135" xr:uid="{A70D2FF6-C6D3-4549-A245-54A1890E1627}"/>
    <cellStyle name="Normal 12 9 3" xfId="6317" xr:uid="{00000000-0005-0000-0000-0000690E0000}"/>
    <cellStyle name="Normal 12 9 3 2" xfId="14767" xr:uid="{30D64B03-2CEF-42A0-A7E8-5DC9060B0E29}"/>
    <cellStyle name="Normal 12 9 3 3" xfId="23207" xr:uid="{F5D68C88-29F3-4CCF-83CC-361856F1B9FB}"/>
    <cellStyle name="Normal 12 9 4" xfId="10549" xr:uid="{D22BD6C7-F815-481F-A002-52FCE8FFAE2A}"/>
    <cellStyle name="Normal 12 9 5" xfId="18990" xr:uid="{8DDD063C-CA26-4D11-B843-3336DC84C8DF}"/>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81A3EAAD-C978-49BD-8081-23DABE545E50}"/>
    <cellStyle name="Normal 14 2 2 2 3" xfId="24121" xr:uid="{FF0267F8-0836-4D14-B967-A55591B0B211}"/>
    <cellStyle name="Normal 14 2 2 3" xfId="11463" xr:uid="{AC397C8A-9235-45C0-83DC-803E8B999EB4}"/>
    <cellStyle name="Normal 14 2 2 4" xfId="19904" xr:uid="{33F05238-E4D6-43D7-87B9-9E85E56E6D6F}"/>
    <cellStyle name="Normal 14 2 3" xfId="5086" xr:uid="{00000000-0005-0000-0000-0000700E0000}"/>
    <cellStyle name="Normal 14 2 3 2" xfId="13536" xr:uid="{4532777A-A98C-495D-8D47-8EFD99E78DA0}"/>
    <cellStyle name="Normal 14 2 3 3" xfId="21976" xr:uid="{44891727-9CE1-43F9-8144-D0077B16D444}"/>
    <cellStyle name="Normal 14 2 4" xfId="9318" xr:uid="{EA691432-ABD8-45C0-965F-AD84AB9D71FF}"/>
    <cellStyle name="Normal 14 2 5" xfId="17759" xr:uid="{CF60A094-48E1-4A71-9D01-DFD4453D01E4}"/>
    <cellStyle name="Normal 14 3" xfId="1191" xr:uid="{00000000-0005-0000-0000-0000710E0000}"/>
    <cellStyle name="Normal 14 3 2" xfId="3422" xr:uid="{00000000-0005-0000-0000-0000720E0000}"/>
    <cellStyle name="Normal 14 3 2 2" xfId="7644" xr:uid="{00000000-0005-0000-0000-0000730E0000}"/>
    <cellStyle name="Normal 14 3 2 2 2" xfId="16094" xr:uid="{1D77EBC4-3BAC-4E37-BAE0-40F396BD0BEB}"/>
    <cellStyle name="Normal 14 3 2 2 3" xfId="24534" xr:uid="{D54FC49C-4440-43C3-8B08-B5CFC41FEE77}"/>
    <cellStyle name="Normal 14 3 2 3" xfId="11876" xr:uid="{CFCC35B8-A8EE-4D33-A224-D189FF675044}"/>
    <cellStyle name="Normal 14 3 2 4" xfId="20317" xr:uid="{43CED109-146A-4374-BAE3-6CF706EC2823}"/>
    <cellStyle name="Normal 14 3 3" xfId="5499" xr:uid="{00000000-0005-0000-0000-0000740E0000}"/>
    <cellStyle name="Normal 14 3 3 2" xfId="13949" xr:uid="{E748C7F1-25FC-4A07-B68B-099B07B58E84}"/>
    <cellStyle name="Normal 14 3 3 3" xfId="22389" xr:uid="{1509E0FD-6CF9-4E7F-9B4D-476826A815A4}"/>
    <cellStyle name="Normal 14 3 4" xfId="9731" xr:uid="{E2EC0002-F0CA-4E13-A766-C75934C43DF2}"/>
    <cellStyle name="Normal 14 3 5" xfId="18172" xr:uid="{1D320529-4A6A-4714-9619-9219295028C6}"/>
    <cellStyle name="Normal 14 4" xfId="1605" xr:uid="{00000000-0005-0000-0000-0000750E0000}"/>
    <cellStyle name="Normal 14 4 2" xfId="3835" xr:uid="{00000000-0005-0000-0000-0000760E0000}"/>
    <cellStyle name="Normal 14 4 2 2" xfId="8057" xr:uid="{00000000-0005-0000-0000-0000770E0000}"/>
    <cellStyle name="Normal 14 4 2 2 2" xfId="16507" xr:uid="{2EA697C4-9898-4EDE-82B5-BC209DA7D85C}"/>
    <cellStyle name="Normal 14 4 2 2 3" xfId="24947" xr:uid="{2ABB921C-9479-4F14-AA56-8A9E46264546}"/>
    <cellStyle name="Normal 14 4 2 3" xfId="12289" xr:uid="{E394B70E-FAEE-4F63-9166-335A62BD154A}"/>
    <cellStyle name="Normal 14 4 2 4" xfId="20730" xr:uid="{E693263D-A3C9-48A3-8A3D-0BEC0068C189}"/>
    <cellStyle name="Normal 14 4 3" xfId="5912" xr:uid="{00000000-0005-0000-0000-0000780E0000}"/>
    <cellStyle name="Normal 14 4 3 2" xfId="14362" xr:uid="{07283473-4920-469B-96B9-B9584194E229}"/>
    <cellStyle name="Normal 14 4 3 3" xfId="22802" xr:uid="{FB4C9CDC-2E75-4874-9F3A-FB730F1F520C}"/>
    <cellStyle name="Normal 14 4 4" xfId="10144" xr:uid="{ACE70C47-9EF5-46C1-894D-FC4115717E4E}"/>
    <cellStyle name="Normal 14 4 5" xfId="18585" xr:uid="{8D3481F0-7A94-4F91-A366-B5A523835BF3}"/>
    <cellStyle name="Normal 14 5" xfId="2019" xr:uid="{00000000-0005-0000-0000-0000790E0000}"/>
    <cellStyle name="Normal 14 5 2" xfId="4248" xr:uid="{00000000-0005-0000-0000-00007A0E0000}"/>
    <cellStyle name="Normal 14 5 2 2" xfId="8470" xr:uid="{00000000-0005-0000-0000-00007B0E0000}"/>
    <cellStyle name="Normal 14 5 2 2 2" xfId="16920" xr:uid="{1276A3CA-09D7-451A-B528-2D36DE63B57C}"/>
    <cellStyle name="Normal 14 5 2 2 3" xfId="25360" xr:uid="{A004A393-153C-46F5-B503-064F20CCF2EF}"/>
    <cellStyle name="Normal 14 5 2 3" xfId="12702" xr:uid="{C9536E0B-3F2B-4F29-B038-CE002D440ACD}"/>
    <cellStyle name="Normal 14 5 2 4" xfId="21143" xr:uid="{18C53080-03D8-4CA0-9023-AB2C71E4CCAD}"/>
    <cellStyle name="Normal 14 5 3" xfId="6325" xr:uid="{00000000-0005-0000-0000-00007C0E0000}"/>
    <cellStyle name="Normal 14 5 3 2" xfId="14775" xr:uid="{A6D7AE56-7DF8-4B94-8FB1-EE234909CCC4}"/>
    <cellStyle name="Normal 14 5 3 3" xfId="23215" xr:uid="{E9B5DE42-DCD6-45B8-9C4B-6F22DEE39741}"/>
    <cellStyle name="Normal 14 5 4" xfId="10557" xr:uid="{011053AC-4EBB-4AC5-81A8-A80544F3AF9F}"/>
    <cellStyle name="Normal 14 5 5" xfId="18998" xr:uid="{DF77BA94-6EED-4614-9B32-8772EAA973F4}"/>
    <cellStyle name="Normal 14 6" xfId="2455" xr:uid="{00000000-0005-0000-0000-00007D0E0000}"/>
    <cellStyle name="Normal 14 6 2" xfId="6738" xr:uid="{00000000-0005-0000-0000-00007E0E0000}"/>
    <cellStyle name="Normal 14 6 2 2" xfId="15188" xr:uid="{9E37B7DA-9411-4885-870F-C21B6F75547F}"/>
    <cellStyle name="Normal 14 6 2 3" xfId="23628" xr:uid="{786A57FD-E53E-470B-A6AE-211FC76BF4B9}"/>
    <cellStyle name="Normal 14 6 3" xfId="10970" xr:uid="{237AFABB-1865-49B2-9B53-2397554A1AB3}"/>
    <cellStyle name="Normal 14 6 4" xfId="19411" xr:uid="{07872CA8-A167-422B-BCD4-F6B8CEF38997}"/>
    <cellStyle name="Normal 14 7" xfId="4672" xr:uid="{00000000-0005-0000-0000-00007F0E0000}"/>
    <cellStyle name="Normal 14 7 2" xfId="13122" xr:uid="{373D946D-40B3-4E34-BBA3-AD0EE787064B}"/>
    <cellStyle name="Normal 14 7 3" xfId="21562" xr:uid="{ED37A32F-A63D-4E22-BA3A-8431341808EB}"/>
    <cellStyle name="Normal 14 8" xfId="8904" xr:uid="{44750922-F9D7-418A-B64C-D25D3ED8ABC1}"/>
    <cellStyle name="Normal 14 9" xfId="17345" xr:uid="{B703F48E-3DBE-416F-B18B-86C6A222D1F3}"/>
    <cellStyle name="Normal 15" xfId="4496" xr:uid="{00000000-0005-0000-0000-0000800E0000}"/>
    <cellStyle name="Normal 15 2" xfId="12948" xr:uid="{94C9E43E-25A4-462B-B5B0-2B7C4D9D4CAA}"/>
    <cellStyle name="Normal 15 3" xfId="21388" xr:uid="{533DD8B5-01EA-4391-AB83-C3A20FC95845}"/>
    <cellStyle name="Normal 16" xfId="4500" xr:uid="{00000000-0005-0000-0000-0000810E0000}"/>
    <cellStyle name="Normal 16 2" xfId="8715" xr:uid="{00000000-0005-0000-0000-0000820E0000}"/>
    <cellStyle name="Normal 16 2 2" xfId="17165" xr:uid="{457E590E-ED1D-437D-AF58-90753A1C6DC4}"/>
    <cellStyle name="Normal 16 2 3" xfId="25605" xr:uid="{B38B84D7-64F8-4EA3-BE27-D85033B553E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FED065CA-1479-4B28-B845-44B6ECD4667E}"/>
    <cellStyle name="Normal 16 3 2 2 4" xfId="25614" xr:uid="{CA2D17AD-4FC2-4B07-AECE-D6E73FD9BA46}"/>
    <cellStyle name="Normal 16 3 2 3" xfId="17171" xr:uid="{922C1EA7-4BF0-4357-9CA2-2AF320738791}"/>
    <cellStyle name="Normal 16 3 2 4" xfId="25611" xr:uid="{796747F1-044F-46DC-8DD8-22E1FC18CCC9}"/>
    <cellStyle name="Normal 16 3 3" xfId="17168" xr:uid="{0EB51D1A-2BE2-4BF4-BE0B-3BD93911CD29}"/>
    <cellStyle name="Normal 16 3 4" xfId="25608" xr:uid="{939A2663-B8D8-42F0-8E16-2F87CF5FFE83}"/>
    <cellStyle name="Normal 16 4" xfId="12951" xr:uid="{7DEC8ED5-23EA-4059-B604-E84E7B0262E9}"/>
    <cellStyle name="Normal 16 5" xfId="21391" xr:uid="{94E24EBE-E463-4E46-AF11-51B4AE89DA93}"/>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82E81CCC-60B5-41B3-8C67-1DB31735C4DD}"/>
    <cellStyle name="Normal 2 4 2 10 2 2 3" xfId="25361" xr:uid="{73D20592-F44A-4C79-833B-F87C01C2CA82}"/>
    <cellStyle name="Normal 2 4 2 10 2 3" xfId="12703" xr:uid="{04BF4113-8043-4F59-B8EB-68A73A0D9832}"/>
    <cellStyle name="Normal 2 4 2 10 2 4" xfId="21144" xr:uid="{66C45348-A258-4444-8FBA-3890903632B8}"/>
    <cellStyle name="Normal 2 4 2 10 3" xfId="6326" xr:uid="{00000000-0005-0000-0000-0000910E0000}"/>
    <cellStyle name="Normal 2 4 2 10 3 2" xfId="14776" xr:uid="{16298127-7045-4717-99CB-7D3B39A39CF3}"/>
    <cellStyle name="Normal 2 4 2 10 3 3" xfId="23216" xr:uid="{B3B3277A-BBF2-44B3-A0F1-262E5E3F6E9A}"/>
    <cellStyle name="Normal 2 4 2 10 4" xfId="10558" xr:uid="{415AFE9C-E9DC-46E0-85BC-5D1D0CF7FA09}"/>
    <cellStyle name="Normal 2 4 2 10 5" xfId="18999" xr:uid="{56823146-C437-4B8C-B538-9D351DDC8C08}"/>
    <cellStyle name="Normal 2 4 2 11" xfId="2456" xr:uid="{00000000-0005-0000-0000-0000920E0000}"/>
    <cellStyle name="Normal 2 4 2 11 2" xfId="6739" xr:uid="{00000000-0005-0000-0000-0000930E0000}"/>
    <cellStyle name="Normal 2 4 2 11 2 2" xfId="15189" xr:uid="{795156FA-0A68-4711-815D-0EF950A7D9B6}"/>
    <cellStyle name="Normal 2 4 2 11 2 3" xfId="23629" xr:uid="{99F18181-C578-4CA6-B34C-A41474A25F32}"/>
    <cellStyle name="Normal 2 4 2 11 3" xfId="10971" xr:uid="{C589FB5E-B974-4D0F-BF40-08302BB731A4}"/>
    <cellStyle name="Normal 2 4 2 11 4" xfId="19412" xr:uid="{26D75317-4370-46BD-B47D-0CC4D37903F7}"/>
    <cellStyle name="Normal 2 4 2 12" xfId="4673" xr:uid="{00000000-0005-0000-0000-0000940E0000}"/>
    <cellStyle name="Normal 2 4 2 12 2" xfId="13123" xr:uid="{332C2E38-C9B2-4D41-8750-8E28F694E42E}"/>
    <cellStyle name="Normal 2 4 2 12 3" xfId="21563" xr:uid="{FED88DBA-EDFE-4367-88A7-BFB11C078115}"/>
    <cellStyle name="Normal 2 4 2 13" xfId="8905" xr:uid="{461A7BBB-C1C8-4F4F-85B8-B0241A44A2D4}"/>
    <cellStyle name="Normal 2 4 2 14" xfId="17346" xr:uid="{27996C16-D451-4CAE-BDE1-BD01FE0AC7F5}"/>
    <cellStyle name="Normal 2 4 2 2" xfId="280" xr:uid="{00000000-0005-0000-0000-0000950E0000}"/>
    <cellStyle name="Normal 2 4 2 3" xfId="281" xr:uid="{00000000-0005-0000-0000-0000960E0000}"/>
    <cellStyle name="Normal 2 4 2 3 10" xfId="4674" xr:uid="{00000000-0005-0000-0000-0000970E0000}"/>
    <cellStyle name="Normal 2 4 2 3 10 2" xfId="13124" xr:uid="{CCE03681-DBD9-40CE-89BE-F497C1C69DC9}"/>
    <cellStyle name="Normal 2 4 2 3 10 3" xfId="21564" xr:uid="{A4B70C79-489B-45F3-B1D0-4258009BCF86}"/>
    <cellStyle name="Normal 2 4 2 3 11" xfId="8906" xr:uid="{F5FF01E9-BA34-443C-9047-7E604B80B9C8}"/>
    <cellStyle name="Normal 2 4 2 3 12" xfId="17347" xr:uid="{6693BA4F-28C1-45F9-98E7-A99331935A33}"/>
    <cellStyle name="Normal 2 4 2 3 2" xfId="282" xr:uid="{00000000-0005-0000-0000-0000980E0000}"/>
    <cellStyle name="Normal 2 4 2 3 2 10" xfId="8907" xr:uid="{7E1529DE-009C-4091-BF31-0EA953789B34}"/>
    <cellStyle name="Normal 2 4 2 3 2 11" xfId="17348" xr:uid="{CE6693F6-653E-4FC3-AC68-1C24B843380D}"/>
    <cellStyle name="Normal 2 4 2 3 2 2" xfId="283" xr:uid="{00000000-0005-0000-0000-0000990E0000}"/>
    <cellStyle name="Normal 2 4 2 3 2 2 10" xfId="17349" xr:uid="{FE4B83DA-D745-4DF4-9F3F-C2E509D65EF7}"/>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735F074B-F39A-4596-9781-5C00F44128CE}"/>
    <cellStyle name="Normal 2 4 2 3 2 2 2 2 2 2 3" xfId="24126" xr:uid="{20D14997-D52D-4940-83E2-C6AE9A902980}"/>
    <cellStyle name="Normal 2 4 2 3 2 2 2 2 2 3" xfId="11468" xr:uid="{D2A5C0B5-EF0F-4542-920F-088FEA093F57}"/>
    <cellStyle name="Normal 2 4 2 3 2 2 2 2 2 4" xfId="19909" xr:uid="{CE9C0249-0B5C-4AD8-9D47-C0E61DC878AF}"/>
    <cellStyle name="Normal 2 4 2 3 2 2 2 2 3" xfId="5091" xr:uid="{00000000-0005-0000-0000-00009E0E0000}"/>
    <cellStyle name="Normal 2 4 2 3 2 2 2 2 3 2" xfId="13541" xr:uid="{1BF0AEC4-F729-4CEB-9B9C-F0995ED8FE51}"/>
    <cellStyle name="Normal 2 4 2 3 2 2 2 2 3 3" xfId="21981" xr:uid="{A191049E-DE0E-4E01-8903-0B72090B8B0D}"/>
    <cellStyle name="Normal 2 4 2 3 2 2 2 2 4" xfId="9323" xr:uid="{A58C7E8D-BA1E-4192-ACDA-D2FE2FE6177C}"/>
    <cellStyle name="Normal 2 4 2 3 2 2 2 2 5" xfId="17764" xr:uid="{0AD84AE7-9BF1-4D5B-AD3C-90CBDAD3BB6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51736A47-CE17-4485-AA3B-72D96951140C}"/>
    <cellStyle name="Normal 2 4 2 3 2 2 2 3 2 2 3" xfId="24539" xr:uid="{2D21D16D-7693-419D-B85E-064032C18A19}"/>
    <cellStyle name="Normal 2 4 2 3 2 2 2 3 2 3" xfId="11881" xr:uid="{5C9DA3ED-CC4B-43FB-AD34-800081C3B187}"/>
    <cellStyle name="Normal 2 4 2 3 2 2 2 3 2 4" xfId="20322" xr:uid="{018D1200-77CE-427A-B69D-FCD05F484C02}"/>
    <cellStyle name="Normal 2 4 2 3 2 2 2 3 3" xfId="5504" xr:uid="{00000000-0005-0000-0000-0000A20E0000}"/>
    <cellStyle name="Normal 2 4 2 3 2 2 2 3 3 2" xfId="13954" xr:uid="{3825AC9F-EC72-4A59-8025-98DCBB80995D}"/>
    <cellStyle name="Normal 2 4 2 3 2 2 2 3 3 3" xfId="22394" xr:uid="{73E66348-9C0E-47A2-ACC2-85E8EA6EEB9D}"/>
    <cellStyle name="Normal 2 4 2 3 2 2 2 3 4" xfId="9736" xr:uid="{311F3C18-5BB5-46DC-8DE3-9CBB3C2EF3DE}"/>
    <cellStyle name="Normal 2 4 2 3 2 2 2 3 5" xfId="18177" xr:uid="{158F5EB8-D218-4821-88BC-4779442CA608}"/>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72C8A7E8-4ECF-49A6-834E-05C969F950FE}"/>
    <cellStyle name="Normal 2 4 2 3 2 2 2 4 2 2 3" xfId="24952" xr:uid="{594FB23B-8F2C-4C34-94A5-79120A5099BD}"/>
    <cellStyle name="Normal 2 4 2 3 2 2 2 4 2 3" xfId="12294" xr:uid="{86708AD7-0C93-4F61-A352-91D9C2891076}"/>
    <cellStyle name="Normal 2 4 2 3 2 2 2 4 2 4" xfId="20735" xr:uid="{62B4EA84-F1E8-42E8-A412-1BF850E8B0B6}"/>
    <cellStyle name="Normal 2 4 2 3 2 2 2 4 3" xfId="5917" xr:uid="{00000000-0005-0000-0000-0000A60E0000}"/>
    <cellStyle name="Normal 2 4 2 3 2 2 2 4 3 2" xfId="14367" xr:uid="{74F895A2-B703-467F-A536-03D19C625A2E}"/>
    <cellStyle name="Normal 2 4 2 3 2 2 2 4 3 3" xfId="22807" xr:uid="{508F05C0-61F0-4EED-89A8-CA26EAD15CF8}"/>
    <cellStyle name="Normal 2 4 2 3 2 2 2 4 4" xfId="10149" xr:uid="{66198E89-316C-4B39-B43B-2388D6F09A1E}"/>
    <cellStyle name="Normal 2 4 2 3 2 2 2 4 5" xfId="18590" xr:uid="{3BB206D6-FDC1-4BC9-8DA9-A72EEB95ABBF}"/>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F31E6036-7EC6-4A94-AC97-99F4EE201F32}"/>
    <cellStyle name="Normal 2 4 2 3 2 2 2 5 2 2 3" xfId="25365" xr:uid="{FC6F666D-2DD4-4FF8-8FC8-66E7BCEBAEAF}"/>
    <cellStyle name="Normal 2 4 2 3 2 2 2 5 2 3" xfId="12707" xr:uid="{B9A01971-EB0A-473F-B4A6-2BD221EF5800}"/>
    <cellStyle name="Normal 2 4 2 3 2 2 2 5 2 4" xfId="21148" xr:uid="{C814656C-FB6F-41C4-93C5-3532E6022728}"/>
    <cellStyle name="Normal 2 4 2 3 2 2 2 5 3" xfId="6330" xr:uid="{00000000-0005-0000-0000-0000AA0E0000}"/>
    <cellStyle name="Normal 2 4 2 3 2 2 2 5 3 2" xfId="14780" xr:uid="{D872A0EB-D4DA-4223-BFEA-DC1292BCD976}"/>
    <cellStyle name="Normal 2 4 2 3 2 2 2 5 3 3" xfId="23220" xr:uid="{CC8EEBC4-01A8-44C7-8085-89B2CDE70E15}"/>
    <cellStyle name="Normal 2 4 2 3 2 2 2 5 4" xfId="10562" xr:uid="{ACA892BF-F654-4ED4-AFA5-D44E4380265A}"/>
    <cellStyle name="Normal 2 4 2 3 2 2 2 5 5" xfId="19003" xr:uid="{CD886755-14B2-4C0E-840A-4AEC6D38EC3E}"/>
    <cellStyle name="Normal 2 4 2 3 2 2 2 6" xfId="2460" xr:uid="{00000000-0005-0000-0000-0000AB0E0000}"/>
    <cellStyle name="Normal 2 4 2 3 2 2 2 6 2" xfId="6743" xr:uid="{00000000-0005-0000-0000-0000AC0E0000}"/>
    <cellStyle name="Normal 2 4 2 3 2 2 2 6 2 2" xfId="15193" xr:uid="{7C4F4FAE-AA54-496C-863E-7164B56276F5}"/>
    <cellStyle name="Normal 2 4 2 3 2 2 2 6 2 3" xfId="23633" xr:uid="{A6B6C306-2CD8-4633-B222-EF62B8A729B9}"/>
    <cellStyle name="Normal 2 4 2 3 2 2 2 6 3" xfId="10975" xr:uid="{8F8086DC-E1E1-4739-A455-CEBF4DEA0656}"/>
    <cellStyle name="Normal 2 4 2 3 2 2 2 6 4" xfId="19416" xr:uid="{CFF36086-31FC-424E-960C-C28ABA6E4F01}"/>
    <cellStyle name="Normal 2 4 2 3 2 2 2 7" xfId="4677" xr:uid="{00000000-0005-0000-0000-0000AD0E0000}"/>
    <cellStyle name="Normal 2 4 2 3 2 2 2 7 2" xfId="13127" xr:uid="{36CECDCE-F253-4785-9CF5-D839BA05EF50}"/>
    <cellStyle name="Normal 2 4 2 3 2 2 2 7 3" xfId="21567" xr:uid="{FC482751-41AC-4D4D-938A-16B58F4FDD60}"/>
    <cellStyle name="Normal 2 4 2 3 2 2 2 8" xfId="8909" xr:uid="{48F2CE12-9CA4-430D-B2F5-957B6406872D}"/>
    <cellStyle name="Normal 2 4 2 3 2 2 2 9" xfId="17350" xr:uid="{93913A9C-867D-4A46-A816-03A269EF81B3}"/>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AF660B81-16DA-4FDB-9A91-5119ABE5AE09}"/>
    <cellStyle name="Normal 2 4 2 3 2 2 3 2 2 3" xfId="24125" xr:uid="{7EB1459F-BCC6-4C22-B689-002FD478B7FF}"/>
    <cellStyle name="Normal 2 4 2 3 2 2 3 2 3" xfId="11467" xr:uid="{A60293D8-444A-4CA8-BCA1-8D55CF70F4FB}"/>
    <cellStyle name="Normal 2 4 2 3 2 2 3 2 4" xfId="19908" xr:uid="{D665A0C3-AC1F-4355-9427-F1CB2D847822}"/>
    <cellStyle name="Normal 2 4 2 3 2 2 3 3" xfId="5090" xr:uid="{00000000-0005-0000-0000-0000B10E0000}"/>
    <cellStyle name="Normal 2 4 2 3 2 2 3 3 2" xfId="13540" xr:uid="{FAA7EC94-F4E2-430C-8F6A-44A85891A8DF}"/>
    <cellStyle name="Normal 2 4 2 3 2 2 3 3 3" xfId="21980" xr:uid="{17B225F0-D4DB-41AB-92B5-FFDDBED69940}"/>
    <cellStyle name="Normal 2 4 2 3 2 2 3 4" xfId="9322" xr:uid="{C9BDEDDE-B5C8-4E8C-86B6-3BE4D37F9AE8}"/>
    <cellStyle name="Normal 2 4 2 3 2 2 3 5" xfId="17763" xr:uid="{EB2E0CB1-E651-4479-AC5F-8D252796AEE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7E77D95-993F-4F0C-A894-D2B263866F53}"/>
    <cellStyle name="Normal 2 4 2 3 2 2 4 2 2 3" xfId="24538" xr:uid="{A660B8A1-4814-4F0D-AFD5-55A55EDA7674}"/>
    <cellStyle name="Normal 2 4 2 3 2 2 4 2 3" xfId="11880" xr:uid="{D38334AD-C912-40E7-8663-CECDB5492867}"/>
    <cellStyle name="Normal 2 4 2 3 2 2 4 2 4" xfId="20321" xr:uid="{9BD14D20-70E9-4E2F-8810-0BF24A3511DD}"/>
    <cellStyle name="Normal 2 4 2 3 2 2 4 3" xfId="5503" xr:uid="{00000000-0005-0000-0000-0000B50E0000}"/>
    <cellStyle name="Normal 2 4 2 3 2 2 4 3 2" xfId="13953" xr:uid="{C5A6BF64-CB07-4DAB-8497-9D1EFCD8E1E5}"/>
    <cellStyle name="Normal 2 4 2 3 2 2 4 3 3" xfId="22393" xr:uid="{A2B900AE-3FCC-4433-A54A-7CD1DB31B8CA}"/>
    <cellStyle name="Normal 2 4 2 3 2 2 4 4" xfId="9735" xr:uid="{7E6B54E1-E53B-4154-BF09-B4C5ECAA7997}"/>
    <cellStyle name="Normal 2 4 2 3 2 2 4 5" xfId="18176" xr:uid="{8B5ECD7C-ABF6-4610-8D6E-4E0EA7CF7F25}"/>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807D81BF-8862-4CAA-9DB7-CBC5A11568CE}"/>
    <cellStyle name="Normal 2 4 2 3 2 2 5 2 2 3" xfId="24951" xr:uid="{9BE25419-64D6-4CFC-8949-6DA4D393AFCE}"/>
    <cellStyle name="Normal 2 4 2 3 2 2 5 2 3" xfId="12293" xr:uid="{99AD6978-6DD7-492A-8F3A-D8AD59BCF4E6}"/>
    <cellStyle name="Normal 2 4 2 3 2 2 5 2 4" xfId="20734" xr:uid="{5F570FCC-9658-4350-B505-FB4F334FC7CD}"/>
    <cellStyle name="Normal 2 4 2 3 2 2 5 3" xfId="5916" xr:uid="{00000000-0005-0000-0000-0000B90E0000}"/>
    <cellStyle name="Normal 2 4 2 3 2 2 5 3 2" xfId="14366" xr:uid="{41CE0F53-CA67-435E-BC66-D00BF7B8FC1B}"/>
    <cellStyle name="Normal 2 4 2 3 2 2 5 3 3" xfId="22806" xr:uid="{3CE563A1-68D8-4F99-989B-0AB66F6949D3}"/>
    <cellStyle name="Normal 2 4 2 3 2 2 5 4" xfId="10148" xr:uid="{69440BFF-A78D-43E4-923D-F52DD588EBDA}"/>
    <cellStyle name="Normal 2 4 2 3 2 2 5 5" xfId="18589" xr:uid="{F30DE2B4-D34C-4D80-9DDC-1C9E1ED5F6F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BF56B0BB-0F06-43CD-87EA-E0DAE28A764E}"/>
    <cellStyle name="Normal 2 4 2 3 2 2 6 2 2 3" xfId="25364" xr:uid="{41E74B44-FD66-49B2-BFFC-BE411FABD567}"/>
    <cellStyle name="Normal 2 4 2 3 2 2 6 2 3" xfId="12706" xr:uid="{AACB27E6-7584-4CAE-A419-85859D4A5FEE}"/>
    <cellStyle name="Normal 2 4 2 3 2 2 6 2 4" xfId="21147" xr:uid="{8DEDE280-3BB8-483E-852E-33E95943A483}"/>
    <cellStyle name="Normal 2 4 2 3 2 2 6 3" xfId="6329" xr:uid="{00000000-0005-0000-0000-0000BD0E0000}"/>
    <cellStyle name="Normal 2 4 2 3 2 2 6 3 2" xfId="14779" xr:uid="{FA4C3D00-6AFA-4568-88F3-AF9ED2490FBC}"/>
    <cellStyle name="Normal 2 4 2 3 2 2 6 3 3" xfId="23219" xr:uid="{5941B845-E6AD-4191-846A-79925503B560}"/>
    <cellStyle name="Normal 2 4 2 3 2 2 6 4" xfId="10561" xr:uid="{6FB404E2-9389-4E14-8D41-61ACCFAC5A4E}"/>
    <cellStyle name="Normal 2 4 2 3 2 2 6 5" xfId="19002" xr:uid="{0DEEA15D-0786-47AC-A37C-18ED7403FD82}"/>
    <cellStyle name="Normal 2 4 2 3 2 2 7" xfId="2459" xr:uid="{00000000-0005-0000-0000-0000BE0E0000}"/>
    <cellStyle name="Normal 2 4 2 3 2 2 7 2" xfId="6742" xr:uid="{00000000-0005-0000-0000-0000BF0E0000}"/>
    <cellStyle name="Normal 2 4 2 3 2 2 7 2 2" xfId="15192" xr:uid="{8FAF2E56-6654-44DF-AED3-9F05FD679B33}"/>
    <cellStyle name="Normal 2 4 2 3 2 2 7 2 3" xfId="23632" xr:uid="{D768251B-0772-429D-8BF8-5EEB39514456}"/>
    <cellStyle name="Normal 2 4 2 3 2 2 7 3" xfId="10974" xr:uid="{5FCC7DB2-0C66-4FA6-83C7-60BB5DB2542A}"/>
    <cellStyle name="Normal 2 4 2 3 2 2 7 4" xfId="19415" xr:uid="{8D384CED-6E97-45CD-BAF3-5E86F4C1592A}"/>
    <cellStyle name="Normal 2 4 2 3 2 2 8" xfId="4676" xr:uid="{00000000-0005-0000-0000-0000C00E0000}"/>
    <cellStyle name="Normal 2 4 2 3 2 2 8 2" xfId="13126" xr:uid="{CBA34BE7-9BF6-4309-A8C6-B9CB206A8E7B}"/>
    <cellStyle name="Normal 2 4 2 3 2 2 8 3" xfId="21566" xr:uid="{201DE2E7-B78D-416A-B8C9-8B3353215490}"/>
    <cellStyle name="Normal 2 4 2 3 2 2 9" xfId="8908" xr:uid="{F283973E-9C5F-4848-9991-DAF0F211E68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B089E921-13A1-45D3-A5AD-204C2A0D777D}"/>
    <cellStyle name="Normal 2 4 2 3 2 3 2 2 2 3" xfId="24127" xr:uid="{9F002F0A-98CE-40CD-B002-272F577D5AF6}"/>
    <cellStyle name="Normal 2 4 2 3 2 3 2 2 3" xfId="11469" xr:uid="{32C33E64-5730-4A42-B127-F4982C19EC12}"/>
    <cellStyle name="Normal 2 4 2 3 2 3 2 2 4" xfId="19910" xr:uid="{E8E47E85-8833-4CC7-9158-70EB92F62838}"/>
    <cellStyle name="Normal 2 4 2 3 2 3 2 3" xfId="5092" xr:uid="{00000000-0005-0000-0000-0000C50E0000}"/>
    <cellStyle name="Normal 2 4 2 3 2 3 2 3 2" xfId="13542" xr:uid="{D89D8AE3-78E5-4540-BAC7-17C050FCF44B}"/>
    <cellStyle name="Normal 2 4 2 3 2 3 2 3 3" xfId="21982" xr:uid="{C2816319-2687-403C-814A-0E8675E339D8}"/>
    <cellStyle name="Normal 2 4 2 3 2 3 2 4" xfId="9324" xr:uid="{FB1FC8EB-F504-4F4B-A44C-F8D078417C2F}"/>
    <cellStyle name="Normal 2 4 2 3 2 3 2 5" xfId="17765" xr:uid="{5117B260-20CD-4C1C-AB1D-DD36591600E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26526DB1-A7FB-4858-BF39-10DAAC185307}"/>
    <cellStyle name="Normal 2 4 2 3 2 3 3 2 2 3" xfId="24540" xr:uid="{D925A206-48FB-4511-9BFD-B0A019BEABA0}"/>
    <cellStyle name="Normal 2 4 2 3 2 3 3 2 3" xfId="11882" xr:uid="{9980EB85-D3A3-494C-85BD-A90DCA45A152}"/>
    <cellStyle name="Normal 2 4 2 3 2 3 3 2 4" xfId="20323" xr:uid="{80E30AE6-6D1C-4F8F-93D2-8B7B1A34F453}"/>
    <cellStyle name="Normal 2 4 2 3 2 3 3 3" xfId="5505" xr:uid="{00000000-0005-0000-0000-0000C90E0000}"/>
    <cellStyle name="Normal 2 4 2 3 2 3 3 3 2" xfId="13955" xr:uid="{FE315BD6-C9E5-4715-9FA7-72C7012F555A}"/>
    <cellStyle name="Normal 2 4 2 3 2 3 3 3 3" xfId="22395" xr:uid="{8BB847F9-6F7E-4FB9-A9BC-19CBB54212ED}"/>
    <cellStyle name="Normal 2 4 2 3 2 3 3 4" xfId="9737" xr:uid="{814DD78C-1DC7-4DFD-9092-10B8331E6D55}"/>
    <cellStyle name="Normal 2 4 2 3 2 3 3 5" xfId="18178" xr:uid="{2E60B2C8-C472-42E7-AFF5-70053AC3939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A0E891A7-92FE-472F-A5DF-BA23FDA53301}"/>
    <cellStyle name="Normal 2 4 2 3 2 3 4 2 2 3" xfId="24953" xr:uid="{0454E739-D50F-4FA9-A360-B5D4E70E0F5D}"/>
    <cellStyle name="Normal 2 4 2 3 2 3 4 2 3" xfId="12295" xr:uid="{EC999ED5-2D43-4C96-9BEB-F733A8E292F6}"/>
    <cellStyle name="Normal 2 4 2 3 2 3 4 2 4" xfId="20736" xr:uid="{73ECD4BA-5AB1-44BF-B078-7E87A4F72B99}"/>
    <cellStyle name="Normal 2 4 2 3 2 3 4 3" xfId="5918" xr:uid="{00000000-0005-0000-0000-0000CD0E0000}"/>
    <cellStyle name="Normal 2 4 2 3 2 3 4 3 2" xfId="14368" xr:uid="{BCCC9C88-549D-4EF2-8B9C-E6D8023EBDC9}"/>
    <cellStyle name="Normal 2 4 2 3 2 3 4 3 3" xfId="22808" xr:uid="{046A68DD-99E2-4E26-9C3E-1D8CAEA4ED85}"/>
    <cellStyle name="Normal 2 4 2 3 2 3 4 4" xfId="10150" xr:uid="{5D0E4DC6-D0E8-45BC-B504-94505E58A2BA}"/>
    <cellStyle name="Normal 2 4 2 3 2 3 4 5" xfId="18591" xr:uid="{D9B39860-8FED-4265-BE11-DC977CDCDEA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6FAAE4B2-90E6-4485-BF4E-D1D13B322B8A}"/>
    <cellStyle name="Normal 2 4 2 3 2 3 5 2 2 3" xfId="25366" xr:uid="{EA50B52E-A67C-464B-A9DD-28500561F640}"/>
    <cellStyle name="Normal 2 4 2 3 2 3 5 2 3" xfId="12708" xr:uid="{D68A32B4-CEAC-4F4C-BE6E-4B45185597D2}"/>
    <cellStyle name="Normal 2 4 2 3 2 3 5 2 4" xfId="21149" xr:uid="{843E976F-545C-42AC-9767-B5143B0DAD87}"/>
    <cellStyle name="Normal 2 4 2 3 2 3 5 3" xfId="6331" xr:uid="{00000000-0005-0000-0000-0000D10E0000}"/>
    <cellStyle name="Normal 2 4 2 3 2 3 5 3 2" xfId="14781" xr:uid="{69582CDC-0E00-4DEC-90B1-49609042334A}"/>
    <cellStyle name="Normal 2 4 2 3 2 3 5 3 3" xfId="23221" xr:uid="{338A7BF1-1D8F-49F8-9226-B5A66BA08FC3}"/>
    <cellStyle name="Normal 2 4 2 3 2 3 5 4" xfId="10563" xr:uid="{414983CC-5EAE-4A3A-9B28-A17FB19BAC1A}"/>
    <cellStyle name="Normal 2 4 2 3 2 3 5 5" xfId="19004" xr:uid="{78446BA9-4DB9-4D63-AA35-96458CA9C0C4}"/>
    <cellStyle name="Normal 2 4 2 3 2 3 6" xfId="2461" xr:uid="{00000000-0005-0000-0000-0000D20E0000}"/>
    <cellStyle name="Normal 2 4 2 3 2 3 6 2" xfId="6744" xr:uid="{00000000-0005-0000-0000-0000D30E0000}"/>
    <cellStyle name="Normal 2 4 2 3 2 3 6 2 2" xfId="15194" xr:uid="{43131F94-44BF-426E-8D44-5BB949DE0A4A}"/>
    <cellStyle name="Normal 2 4 2 3 2 3 6 2 3" xfId="23634" xr:uid="{1967AC4C-ACEB-4976-AAB2-22631C2D1455}"/>
    <cellStyle name="Normal 2 4 2 3 2 3 6 3" xfId="10976" xr:uid="{020D8AF3-8FE0-4E9C-A2AD-84EAA0D3C6F6}"/>
    <cellStyle name="Normal 2 4 2 3 2 3 6 4" xfId="19417" xr:uid="{57EFE85C-A305-4EE7-87EB-0654CF39A244}"/>
    <cellStyle name="Normal 2 4 2 3 2 3 7" xfId="4678" xr:uid="{00000000-0005-0000-0000-0000D40E0000}"/>
    <cellStyle name="Normal 2 4 2 3 2 3 7 2" xfId="13128" xr:uid="{D96DB5FA-8A49-4D3E-AD06-C2343C59F047}"/>
    <cellStyle name="Normal 2 4 2 3 2 3 7 3" xfId="21568" xr:uid="{EA2E3DA9-DB43-4C8A-86C2-1C3178FA1C64}"/>
    <cellStyle name="Normal 2 4 2 3 2 3 8" xfId="8910" xr:uid="{FC8F19A2-D0B3-4290-BDDC-6171B0C9C504}"/>
    <cellStyle name="Normal 2 4 2 3 2 3 9" xfId="17351" xr:uid="{58FC0206-BAD2-4752-B802-4670CAEB4AD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C1F9E1BE-65D1-489E-BC36-02E471E9C032}"/>
    <cellStyle name="Normal 2 4 2 3 2 4 2 2 3" xfId="24124" xr:uid="{A0FF54BA-A713-4DA7-9B25-664E46B0E73D}"/>
    <cellStyle name="Normal 2 4 2 3 2 4 2 3" xfId="11466" xr:uid="{8A764D30-02CB-436B-97F1-E70A0475D5E6}"/>
    <cellStyle name="Normal 2 4 2 3 2 4 2 4" xfId="19907" xr:uid="{2750C20F-3441-4009-888B-2E1FE4D7AABB}"/>
    <cellStyle name="Normal 2 4 2 3 2 4 3" xfId="5089" xr:uid="{00000000-0005-0000-0000-0000D80E0000}"/>
    <cellStyle name="Normal 2 4 2 3 2 4 3 2" xfId="13539" xr:uid="{BFA3D355-8A78-40A1-A616-39CEE14712A3}"/>
    <cellStyle name="Normal 2 4 2 3 2 4 3 3" xfId="21979" xr:uid="{E0D605D8-EA89-446B-B81E-5409B8C09706}"/>
    <cellStyle name="Normal 2 4 2 3 2 4 4" xfId="9321" xr:uid="{5CC5372D-4876-41C6-A742-D892F1DD2E77}"/>
    <cellStyle name="Normal 2 4 2 3 2 4 5" xfId="17762" xr:uid="{58F9A1B5-6E0B-433B-95BE-368FFF6A1DF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EACB112B-7D6A-47A2-ACEE-0C94AB5D42E5}"/>
    <cellStyle name="Normal 2 4 2 3 2 5 2 2 3" xfId="24537" xr:uid="{7E32E2F4-41F7-4056-BBFA-39361703592A}"/>
    <cellStyle name="Normal 2 4 2 3 2 5 2 3" xfId="11879" xr:uid="{1007A0AB-97B9-48AD-AD87-9106FA13617F}"/>
    <cellStyle name="Normal 2 4 2 3 2 5 2 4" xfId="20320" xr:uid="{F87C72C2-FB7E-42F7-9D2D-AC6D839CC653}"/>
    <cellStyle name="Normal 2 4 2 3 2 5 3" xfId="5502" xr:uid="{00000000-0005-0000-0000-0000DC0E0000}"/>
    <cellStyle name="Normal 2 4 2 3 2 5 3 2" xfId="13952" xr:uid="{872E2B40-CE36-41EC-8E13-251DC7AFE8D2}"/>
    <cellStyle name="Normal 2 4 2 3 2 5 3 3" xfId="22392" xr:uid="{F0A1FC0F-FC3C-47CB-ADBA-470DDBCE5F19}"/>
    <cellStyle name="Normal 2 4 2 3 2 5 4" xfId="9734" xr:uid="{31E91C19-614C-4FD5-B164-3C25ECA451D0}"/>
    <cellStyle name="Normal 2 4 2 3 2 5 5" xfId="18175" xr:uid="{8A16DE1E-143C-49C7-88FD-FD536DE737D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F0BFF1FA-BCA3-4188-A6A8-7404E3ACA3AA}"/>
    <cellStyle name="Normal 2 4 2 3 2 6 2 2 3" xfId="24950" xr:uid="{3B5BADBB-87CB-48E4-9767-61B0E68945F1}"/>
    <cellStyle name="Normal 2 4 2 3 2 6 2 3" xfId="12292" xr:uid="{DA51A6C6-D497-4B76-BB68-20AD71852BC9}"/>
    <cellStyle name="Normal 2 4 2 3 2 6 2 4" xfId="20733" xr:uid="{3C729447-6DD6-4893-A755-4557605BCA3A}"/>
    <cellStyle name="Normal 2 4 2 3 2 6 3" xfId="5915" xr:uid="{00000000-0005-0000-0000-0000E00E0000}"/>
    <cellStyle name="Normal 2 4 2 3 2 6 3 2" xfId="14365" xr:uid="{9B16E092-7A5A-42F3-A018-68EE033C3129}"/>
    <cellStyle name="Normal 2 4 2 3 2 6 3 3" xfId="22805" xr:uid="{EAB7263E-29B2-41CA-AA25-8C224A3FA38C}"/>
    <cellStyle name="Normal 2 4 2 3 2 6 4" xfId="10147" xr:uid="{FE8FB7AA-1D43-48A3-9506-8CF1C75FB857}"/>
    <cellStyle name="Normal 2 4 2 3 2 6 5" xfId="18588" xr:uid="{27679A93-5B5B-40CE-B7C0-71FA70004BCE}"/>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19253BD6-4F92-45C3-AACC-54DC2354AFA6}"/>
    <cellStyle name="Normal 2 4 2 3 2 7 2 2 3" xfId="25363" xr:uid="{992E3766-A9A4-4D36-A8CF-1DE33DBD9188}"/>
    <cellStyle name="Normal 2 4 2 3 2 7 2 3" xfId="12705" xr:uid="{B2D5D7AE-D415-46B5-88CB-604838017D38}"/>
    <cellStyle name="Normal 2 4 2 3 2 7 2 4" xfId="21146" xr:uid="{E7E96A1D-0E27-47F0-95A5-4B06EF96FBBF}"/>
    <cellStyle name="Normal 2 4 2 3 2 7 3" xfId="6328" xr:uid="{00000000-0005-0000-0000-0000E40E0000}"/>
    <cellStyle name="Normal 2 4 2 3 2 7 3 2" xfId="14778" xr:uid="{B1ECC39D-6C43-48FB-84B1-A48D3E643B41}"/>
    <cellStyle name="Normal 2 4 2 3 2 7 3 3" xfId="23218" xr:uid="{2D52F3FF-EF5E-40D7-A673-D9CB2C629368}"/>
    <cellStyle name="Normal 2 4 2 3 2 7 4" xfId="10560" xr:uid="{E3D6B53E-3D51-4044-81B9-D3254B11FDF2}"/>
    <cellStyle name="Normal 2 4 2 3 2 7 5" xfId="19001" xr:uid="{BEEDD2EE-B6DD-437D-82DC-45E39B3C2147}"/>
    <cellStyle name="Normal 2 4 2 3 2 8" xfId="2458" xr:uid="{00000000-0005-0000-0000-0000E50E0000}"/>
    <cellStyle name="Normal 2 4 2 3 2 8 2" xfId="6741" xr:uid="{00000000-0005-0000-0000-0000E60E0000}"/>
    <cellStyle name="Normal 2 4 2 3 2 8 2 2" xfId="15191" xr:uid="{A11318E1-ED12-40F9-8D79-7F1785E48BC1}"/>
    <cellStyle name="Normal 2 4 2 3 2 8 2 3" xfId="23631" xr:uid="{507F2515-CD55-41FE-9CB2-34E39CDA9A3C}"/>
    <cellStyle name="Normal 2 4 2 3 2 8 3" xfId="10973" xr:uid="{CE3202A9-912A-466D-AA46-6DB2827C81B6}"/>
    <cellStyle name="Normal 2 4 2 3 2 8 4" xfId="19414" xr:uid="{90E34EB4-4397-4E4D-A4D2-E3F874500E8D}"/>
    <cellStyle name="Normal 2 4 2 3 2 9" xfId="4675" xr:uid="{00000000-0005-0000-0000-0000E70E0000}"/>
    <cellStyle name="Normal 2 4 2 3 2 9 2" xfId="13125" xr:uid="{D0D2DE39-060F-412B-945F-B4FC4F179864}"/>
    <cellStyle name="Normal 2 4 2 3 2 9 3" xfId="21565" xr:uid="{2A3B1E90-7E67-439D-A350-CD915C6D5189}"/>
    <cellStyle name="Normal 2 4 2 3 3" xfId="286" xr:uid="{00000000-0005-0000-0000-0000E80E0000}"/>
    <cellStyle name="Normal 2 4 2 3 3 10" xfId="17352" xr:uid="{43103D5F-8F74-4EF1-814E-5CFC7E6D1405}"/>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2E70B4A7-ED87-46FB-A0C3-60EF65DEE356}"/>
    <cellStyle name="Normal 2 4 2 3 3 2 2 2 2 3" xfId="24129" xr:uid="{40782DF6-FD32-454C-9AA0-6FC98576532A}"/>
    <cellStyle name="Normal 2 4 2 3 3 2 2 2 3" xfId="11471" xr:uid="{2C9010F0-7F7E-47AA-A933-D537793A04DC}"/>
    <cellStyle name="Normal 2 4 2 3 3 2 2 2 4" xfId="19912" xr:uid="{2F87FE60-10E5-47BF-9BD3-7D38F9241310}"/>
    <cellStyle name="Normal 2 4 2 3 3 2 2 3" xfId="5094" xr:uid="{00000000-0005-0000-0000-0000ED0E0000}"/>
    <cellStyle name="Normal 2 4 2 3 3 2 2 3 2" xfId="13544" xr:uid="{6ADE3D40-FDBF-4C24-812D-76282561C782}"/>
    <cellStyle name="Normal 2 4 2 3 3 2 2 3 3" xfId="21984" xr:uid="{5EDCB182-A93C-4A52-B25B-10DC896ADBF3}"/>
    <cellStyle name="Normal 2 4 2 3 3 2 2 4" xfId="9326" xr:uid="{4A1EBD96-881D-4617-8FBA-3A7DDBB28099}"/>
    <cellStyle name="Normal 2 4 2 3 3 2 2 5" xfId="17767" xr:uid="{100A1C3A-37AB-458A-AEF3-42FFBD46711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E01AE4D0-E113-431C-BF8B-9042E1173C62}"/>
    <cellStyle name="Normal 2 4 2 3 3 2 3 2 2 3" xfId="24542" xr:uid="{FB6627CF-0335-49BA-AD9B-44716446262B}"/>
    <cellStyle name="Normal 2 4 2 3 3 2 3 2 3" xfId="11884" xr:uid="{E4B73782-9BC6-45FF-8F87-C2F363B28BEA}"/>
    <cellStyle name="Normal 2 4 2 3 3 2 3 2 4" xfId="20325" xr:uid="{16DA4000-16C6-4A3B-A7A8-0A3E65400437}"/>
    <cellStyle name="Normal 2 4 2 3 3 2 3 3" xfId="5507" xr:uid="{00000000-0005-0000-0000-0000F10E0000}"/>
    <cellStyle name="Normal 2 4 2 3 3 2 3 3 2" xfId="13957" xr:uid="{FCDE63B4-A15C-44AE-B734-816EFCC8471A}"/>
    <cellStyle name="Normal 2 4 2 3 3 2 3 3 3" xfId="22397" xr:uid="{8CA6882D-C730-482D-A0A3-D9A000A1116C}"/>
    <cellStyle name="Normal 2 4 2 3 3 2 3 4" xfId="9739" xr:uid="{AFD33EFC-470B-4D71-BED4-6835A25C5612}"/>
    <cellStyle name="Normal 2 4 2 3 3 2 3 5" xfId="18180" xr:uid="{C3DBEF73-D522-4103-AFDC-D1FA4E2C0089}"/>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C27E069C-4595-4D61-994D-8EFD6CCD3925}"/>
    <cellStyle name="Normal 2 4 2 3 3 2 4 2 2 3" xfId="24955" xr:uid="{1C91EF4A-216C-4141-81CC-CC2AF370DB23}"/>
    <cellStyle name="Normal 2 4 2 3 3 2 4 2 3" xfId="12297" xr:uid="{4F1329C0-5624-48C9-A347-581C74EB09AA}"/>
    <cellStyle name="Normal 2 4 2 3 3 2 4 2 4" xfId="20738" xr:uid="{9536AD84-BC72-4346-8367-8AA4FD6D9EB8}"/>
    <cellStyle name="Normal 2 4 2 3 3 2 4 3" xfId="5920" xr:uid="{00000000-0005-0000-0000-0000F50E0000}"/>
    <cellStyle name="Normal 2 4 2 3 3 2 4 3 2" xfId="14370" xr:uid="{61A027F2-F5DC-4383-8472-EF8275645D87}"/>
    <cellStyle name="Normal 2 4 2 3 3 2 4 3 3" xfId="22810" xr:uid="{4235B57B-B099-44F6-8FE3-0D74D54BB79B}"/>
    <cellStyle name="Normal 2 4 2 3 3 2 4 4" xfId="10152" xr:uid="{F77F06F2-9327-4386-9D73-CA3694466136}"/>
    <cellStyle name="Normal 2 4 2 3 3 2 4 5" xfId="18593" xr:uid="{FADCA836-8756-4EF6-88D1-21F4A6B9E9A7}"/>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FFEFC4D4-C6EB-4C6B-B4D3-6D4A0E2B1F06}"/>
    <cellStyle name="Normal 2 4 2 3 3 2 5 2 2 3" xfId="25368" xr:uid="{BD4C5D55-AE10-4903-9BA4-D3EBD3B7D337}"/>
    <cellStyle name="Normal 2 4 2 3 3 2 5 2 3" xfId="12710" xr:uid="{0C675EC1-3A16-4CBD-AF1E-A2F25AA1DB1C}"/>
    <cellStyle name="Normal 2 4 2 3 3 2 5 2 4" xfId="21151" xr:uid="{692F68DA-2B5D-494B-8199-A46D080E2CF8}"/>
    <cellStyle name="Normal 2 4 2 3 3 2 5 3" xfId="6333" xr:uid="{00000000-0005-0000-0000-0000F90E0000}"/>
    <cellStyle name="Normal 2 4 2 3 3 2 5 3 2" xfId="14783" xr:uid="{7AC9501A-2BFB-41CE-AB78-3C0C69D5A74F}"/>
    <cellStyle name="Normal 2 4 2 3 3 2 5 3 3" xfId="23223" xr:uid="{4BD292B3-051C-4972-9912-E60D4A15C4B4}"/>
    <cellStyle name="Normal 2 4 2 3 3 2 5 4" xfId="10565" xr:uid="{ABAC6BE1-B603-492C-9BEB-7C05003B6F65}"/>
    <cellStyle name="Normal 2 4 2 3 3 2 5 5" xfId="19006" xr:uid="{9D74FE0F-9DB0-4011-8825-D3398D0E5E29}"/>
    <cellStyle name="Normal 2 4 2 3 3 2 6" xfId="2463" xr:uid="{00000000-0005-0000-0000-0000FA0E0000}"/>
    <cellStyle name="Normal 2 4 2 3 3 2 6 2" xfId="6746" xr:uid="{00000000-0005-0000-0000-0000FB0E0000}"/>
    <cellStyle name="Normal 2 4 2 3 3 2 6 2 2" xfId="15196" xr:uid="{BE2DC944-2C46-4755-A7A9-47BC1F946F4B}"/>
    <cellStyle name="Normal 2 4 2 3 3 2 6 2 3" xfId="23636" xr:uid="{938D34FE-B015-43E9-A71C-3D87CDADBEDD}"/>
    <cellStyle name="Normal 2 4 2 3 3 2 6 3" xfId="10978" xr:uid="{03F00DB0-B6A4-46FD-BC1F-EA959A48ACB8}"/>
    <cellStyle name="Normal 2 4 2 3 3 2 6 4" xfId="19419" xr:uid="{A2D0BFE8-1BB2-4685-B298-0442D6B33B7C}"/>
    <cellStyle name="Normal 2 4 2 3 3 2 7" xfId="4680" xr:uid="{00000000-0005-0000-0000-0000FC0E0000}"/>
    <cellStyle name="Normal 2 4 2 3 3 2 7 2" xfId="13130" xr:uid="{EE74AE82-BB5D-4F63-AA9A-F30B0E9B8F4C}"/>
    <cellStyle name="Normal 2 4 2 3 3 2 7 3" xfId="21570" xr:uid="{2217C9B4-26C4-4D2C-AE44-08D126349D19}"/>
    <cellStyle name="Normal 2 4 2 3 3 2 8" xfId="8912" xr:uid="{B3153AB7-7638-4EFF-9C04-2F2C55704226}"/>
    <cellStyle name="Normal 2 4 2 3 3 2 9" xfId="17353" xr:uid="{CB80D8CF-0D08-424C-9659-610B724996E8}"/>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3709B324-C90C-419A-9A99-6B3FF065C00E}"/>
    <cellStyle name="Normal 2 4 2 3 3 3 2 2 3" xfId="24128" xr:uid="{44A67BC8-6A1D-4CAB-A320-01580D813A1D}"/>
    <cellStyle name="Normal 2 4 2 3 3 3 2 3" xfId="11470" xr:uid="{710D0BF7-DBE6-4610-8204-C94E87CA300C}"/>
    <cellStyle name="Normal 2 4 2 3 3 3 2 4" xfId="19911" xr:uid="{4A4B1FE6-E7CF-4BDA-BCA3-3101575DC481}"/>
    <cellStyle name="Normal 2 4 2 3 3 3 3" xfId="5093" xr:uid="{00000000-0005-0000-0000-0000000F0000}"/>
    <cellStyle name="Normal 2 4 2 3 3 3 3 2" xfId="13543" xr:uid="{F81232C8-B27C-4FF5-AFD7-0EA8DD02BD48}"/>
    <cellStyle name="Normal 2 4 2 3 3 3 3 3" xfId="21983" xr:uid="{B2364B4C-365C-46AB-B984-56F424197156}"/>
    <cellStyle name="Normal 2 4 2 3 3 3 4" xfId="9325" xr:uid="{7A461BF9-49C5-4ABD-8BE8-59DFFB0398F9}"/>
    <cellStyle name="Normal 2 4 2 3 3 3 5" xfId="17766" xr:uid="{5BCD35AA-65C7-4775-90C9-1EB99918F09C}"/>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90DF5CCE-60A5-4D6B-9A33-990CD77A4353}"/>
    <cellStyle name="Normal 2 4 2 3 3 4 2 2 3" xfId="24541" xr:uid="{3C45D859-B5A8-44D8-9D9A-76C4720ED8BC}"/>
    <cellStyle name="Normal 2 4 2 3 3 4 2 3" xfId="11883" xr:uid="{B6C478C6-4213-4695-B8D2-7B74ADB51972}"/>
    <cellStyle name="Normal 2 4 2 3 3 4 2 4" xfId="20324" xr:uid="{4C9181EB-FE6C-4D90-8EE7-C651B2B0E515}"/>
    <cellStyle name="Normal 2 4 2 3 3 4 3" xfId="5506" xr:uid="{00000000-0005-0000-0000-0000040F0000}"/>
    <cellStyle name="Normal 2 4 2 3 3 4 3 2" xfId="13956" xr:uid="{C3363983-F7A1-42FE-B28A-B61E907A42C3}"/>
    <cellStyle name="Normal 2 4 2 3 3 4 3 3" xfId="22396" xr:uid="{C653F8DD-49B4-4050-9217-1D0290D1E239}"/>
    <cellStyle name="Normal 2 4 2 3 3 4 4" xfId="9738" xr:uid="{EA284939-8042-476E-BC4A-163377588098}"/>
    <cellStyle name="Normal 2 4 2 3 3 4 5" xfId="18179" xr:uid="{C9691565-2A6A-4513-A469-E784FE265CAE}"/>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46FB7797-2FBB-4025-9A91-633CA7453F1A}"/>
    <cellStyle name="Normal 2 4 2 3 3 5 2 2 3" xfId="24954" xr:uid="{94E1AA1E-D93F-4575-B115-2586B2A4CE0A}"/>
    <cellStyle name="Normal 2 4 2 3 3 5 2 3" xfId="12296" xr:uid="{2BB359D7-7E27-4761-9672-0543DFA21B91}"/>
    <cellStyle name="Normal 2 4 2 3 3 5 2 4" xfId="20737" xr:uid="{92BF707F-F9C2-45B5-86C1-42F8E697273C}"/>
    <cellStyle name="Normal 2 4 2 3 3 5 3" xfId="5919" xr:uid="{00000000-0005-0000-0000-0000080F0000}"/>
    <cellStyle name="Normal 2 4 2 3 3 5 3 2" xfId="14369" xr:uid="{80C56E8C-F7AF-4835-99B4-B8D854096188}"/>
    <cellStyle name="Normal 2 4 2 3 3 5 3 3" xfId="22809" xr:uid="{109F472D-8C66-4F95-9353-6C88E28699F4}"/>
    <cellStyle name="Normal 2 4 2 3 3 5 4" xfId="10151" xr:uid="{B29E4F8B-9FDC-497D-A9EA-E9C1DAE89D7F}"/>
    <cellStyle name="Normal 2 4 2 3 3 5 5" xfId="18592" xr:uid="{3D46C6BB-CB4C-4D94-8733-37AF956943E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6AF64BC1-5FA8-4A00-BFC1-E31720ABCC0B}"/>
    <cellStyle name="Normal 2 4 2 3 3 6 2 2 3" xfId="25367" xr:uid="{4304224E-4728-4F13-BDF3-8710764966E0}"/>
    <cellStyle name="Normal 2 4 2 3 3 6 2 3" xfId="12709" xr:uid="{B74E0B14-5195-4EE3-B4ED-A6301B99BDF6}"/>
    <cellStyle name="Normal 2 4 2 3 3 6 2 4" xfId="21150" xr:uid="{5334C937-A9C4-40FD-8ECD-7C781E067880}"/>
    <cellStyle name="Normal 2 4 2 3 3 6 3" xfId="6332" xr:uid="{00000000-0005-0000-0000-00000C0F0000}"/>
    <cellStyle name="Normal 2 4 2 3 3 6 3 2" xfId="14782" xr:uid="{597299FD-5227-4A26-8AB2-BBDF0C76582B}"/>
    <cellStyle name="Normal 2 4 2 3 3 6 3 3" xfId="23222" xr:uid="{0E476D42-5FBA-456B-AFA0-F009FDE05FC4}"/>
    <cellStyle name="Normal 2 4 2 3 3 6 4" xfId="10564" xr:uid="{45D37D2E-2B80-4901-81E6-A655F5E74811}"/>
    <cellStyle name="Normal 2 4 2 3 3 6 5" xfId="19005" xr:uid="{386C95BF-337A-44A3-A8DB-3C8FF6188B26}"/>
    <cellStyle name="Normal 2 4 2 3 3 7" xfId="2462" xr:uid="{00000000-0005-0000-0000-00000D0F0000}"/>
    <cellStyle name="Normal 2 4 2 3 3 7 2" xfId="6745" xr:uid="{00000000-0005-0000-0000-00000E0F0000}"/>
    <cellStyle name="Normal 2 4 2 3 3 7 2 2" xfId="15195" xr:uid="{B0CCAA64-5EB5-4E00-A37E-567E9CA9628B}"/>
    <cellStyle name="Normal 2 4 2 3 3 7 2 3" xfId="23635" xr:uid="{E4002E9B-471A-4A8F-8742-C46B6538ADD8}"/>
    <cellStyle name="Normal 2 4 2 3 3 7 3" xfId="10977" xr:uid="{A87393AD-4E9F-4974-9C4D-399FB7C1E4BF}"/>
    <cellStyle name="Normal 2 4 2 3 3 7 4" xfId="19418" xr:uid="{59909D64-226C-4FAC-A611-F4FC9E36AD19}"/>
    <cellStyle name="Normal 2 4 2 3 3 8" xfId="4679" xr:uid="{00000000-0005-0000-0000-00000F0F0000}"/>
    <cellStyle name="Normal 2 4 2 3 3 8 2" xfId="13129" xr:uid="{B21E72E4-0C34-4263-9838-D4AD780159A6}"/>
    <cellStyle name="Normal 2 4 2 3 3 8 3" xfId="21569" xr:uid="{090B94BC-A639-431C-A028-75CA19878B3E}"/>
    <cellStyle name="Normal 2 4 2 3 3 9" xfId="8911" xr:uid="{94D9CF6B-6AC7-493D-BAF4-1BC297F20E8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C2F4E845-7AD1-44DF-A96B-577A872F088E}"/>
    <cellStyle name="Normal 2 4 2 3 4 2 2 2 3" xfId="24130" xr:uid="{EDEFD180-A15B-4812-B2DF-7024CBA42CE3}"/>
    <cellStyle name="Normal 2 4 2 3 4 2 2 3" xfId="11472" xr:uid="{6874A3EB-242A-4884-907A-ED54CDA5482F}"/>
    <cellStyle name="Normal 2 4 2 3 4 2 2 4" xfId="19913" xr:uid="{CD34C41E-ED39-48E6-9439-A488A0405ECA}"/>
    <cellStyle name="Normal 2 4 2 3 4 2 3" xfId="5095" xr:uid="{00000000-0005-0000-0000-0000140F0000}"/>
    <cellStyle name="Normal 2 4 2 3 4 2 3 2" xfId="13545" xr:uid="{AF08B0A8-9FE8-4F58-ACB1-25CD3F83A367}"/>
    <cellStyle name="Normal 2 4 2 3 4 2 3 3" xfId="21985" xr:uid="{8A07D201-70EA-46CB-8B5E-2FAFDA2EDACA}"/>
    <cellStyle name="Normal 2 4 2 3 4 2 4" xfId="9327" xr:uid="{F9BDDCC5-578E-4271-8AF1-3649F0813272}"/>
    <cellStyle name="Normal 2 4 2 3 4 2 5" xfId="17768" xr:uid="{319A91BA-EF38-4D6F-BC32-34E6A51B256E}"/>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D2A85BA7-2487-42E4-9798-DB63DB6C9DCB}"/>
    <cellStyle name="Normal 2 4 2 3 4 3 2 2 3" xfId="24543" xr:uid="{F74B6831-B1D4-4ABD-AECC-9E3AB486793C}"/>
    <cellStyle name="Normal 2 4 2 3 4 3 2 3" xfId="11885" xr:uid="{106D8087-B7F7-43F1-8AF4-A0681EE6D868}"/>
    <cellStyle name="Normal 2 4 2 3 4 3 2 4" xfId="20326" xr:uid="{2509F9B7-627D-492F-8610-02321083C62F}"/>
    <cellStyle name="Normal 2 4 2 3 4 3 3" xfId="5508" xr:uid="{00000000-0005-0000-0000-0000180F0000}"/>
    <cellStyle name="Normal 2 4 2 3 4 3 3 2" xfId="13958" xr:uid="{A6734E27-F99A-4B02-9F49-37F7AE3BE342}"/>
    <cellStyle name="Normal 2 4 2 3 4 3 3 3" xfId="22398" xr:uid="{5556746A-30FA-4711-99B0-61EF9D932A71}"/>
    <cellStyle name="Normal 2 4 2 3 4 3 4" xfId="9740" xr:uid="{7AFC96FC-2681-4338-8F0C-AFBE1D72E8B0}"/>
    <cellStyle name="Normal 2 4 2 3 4 3 5" xfId="18181" xr:uid="{15012561-ABC4-48EE-A17C-4339355A57E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4F269906-DC89-4564-8323-D9C999CF1410}"/>
    <cellStyle name="Normal 2 4 2 3 4 4 2 2 3" xfId="24956" xr:uid="{BECDE33D-4AFC-4C3B-882C-07AD29EB6A49}"/>
    <cellStyle name="Normal 2 4 2 3 4 4 2 3" xfId="12298" xr:uid="{987FFD02-AF0D-4705-B177-D7EEAB64C920}"/>
    <cellStyle name="Normal 2 4 2 3 4 4 2 4" xfId="20739" xr:uid="{E8AE4C67-C77F-4FCC-9F3B-B85847BBBE1B}"/>
    <cellStyle name="Normal 2 4 2 3 4 4 3" xfId="5921" xr:uid="{00000000-0005-0000-0000-00001C0F0000}"/>
    <cellStyle name="Normal 2 4 2 3 4 4 3 2" xfId="14371" xr:uid="{A844F3DB-E2E7-41D6-A4C7-771C657BB20A}"/>
    <cellStyle name="Normal 2 4 2 3 4 4 3 3" xfId="22811" xr:uid="{55B5E57B-AE62-4165-AE89-F172F70CF8BD}"/>
    <cellStyle name="Normal 2 4 2 3 4 4 4" xfId="10153" xr:uid="{44E26B2E-4581-494E-9415-2C8D72467E95}"/>
    <cellStyle name="Normal 2 4 2 3 4 4 5" xfId="18594" xr:uid="{52A16E16-678D-4030-AA35-5804B7936BD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D22103B5-38A2-4F30-8561-650758DB6F86}"/>
    <cellStyle name="Normal 2 4 2 3 4 5 2 2 3" xfId="25369" xr:uid="{FBE29490-3E34-4110-9507-8F9D9442E394}"/>
    <cellStyle name="Normal 2 4 2 3 4 5 2 3" xfId="12711" xr:uid="{2C173658-2DD9-4C0B-A4BF-C8D8A4C918A3}"/>
    <cellStyle name="Normal 2 4 2 3 4 5 2 4" xfId="21152" xr:uid="{1BC769D1-8709-41C0-8A2C-9364A6B198CC}"/>
    <cellStyle name="Normal 2 4 2 3 4 5 3" xfId="6334" xr:uid="{00000000-0005-0000-0000-0000200F0000}"/>
    <cellStyle name="Normal 2 4 2 3 4 5 3 2" xfId="14784" xr:uid="{90523320-5133-411F-8233-2BFB48295775}"/>
    <cellStyle name="Normal 2 4 2 3 4 5 3 3" xfId="23224" xr:uid="{58A55EC0-F545-4FD4-B95E-042CC8D75F2F}"/>
    <cellStyle name="Normal 2 4 2 3 4 5 4" xfId="10566" xr:uid="{AA20CBC4-7703-46D9-8D24-53BA4D1177AD}"/>
    <cellStyle name="Normal 2 4 2 3 4 5 5" xfId="19007" xr:uid="{C5328D93-653C-4869-8E5B-013B9616D8C3}"/>
    <cellStyle name="Normal 2 4 2 3 4 6" xfId="2464" xr:uid="{00000000-0005-0000-0000-0000210F0000}"/>
    <cellStyle name="Normal 2 4 2 3 4 6 2" xfId="6747" xr:uid="{00000000-0005-0000-0000-0000220F0000}"/>
    <cellStyle name="Normal 2 4 2 3 4 6 2 2" xfId="15197" xr:uid="{92525854-DDEE-4BA7-A1CD-EECEAAFA3B5E}"/>
    <cellStyle name="Normal 2 4 2 3 4 6 2 3" xfId="23637" xr:uid="{DFF28B27-9E76-4E75-BE6E-8CB21F42A898}"/>
    <cellStyle name="Normal 2 4 2 3 4 6 3" xfId="10979" xr:uid="{BD189309-675D-4951-9FD8-677BEF3F584C}"/>
    <cellStyle name="Normal 2 4 2 3 4 6 4" xfId="19420" xr:uid="{0A9E52A7-410F-4320-9FAD-500F2C256EF1}"/>
    <cellStyle name="Normal 2 4 2 3 4 7" xfId="4681" xr:uid="{00000000-0005-0000-0000-0000230F0000}"/>
    <cellStyle name="Normal 2 4 2 3 4 7 2" xfId="13131" xr:uid="{5D12554F-9576-4337-862D-0DBAA2DD7044}"/>
    <cellStyle name="Normal 2 4 2 3 4 7 3" xfId="21571" xr:uid="{B34EFD9F-A1D2-4A48-8F2F-9D5857DF8D2D}"/>
    <cellStyle name="Normal 2 4 2 3 4 8" xfId="8913" xr:uid="{CBFD4808-FFC8-4753-A3DE-3FEF75CEA22E}"/>
    <cellStyle name="Normal 2 4 2 3 4 9" xfId="17354" xr:uid="{FFF0714E-3DCC-4ABA-AFE7-51CF0FED4D1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58EAE053-E963-4E5F-8B67-B9E91362454A}"/>
    <cellStyle name="Normal 2 4 2 3 5 2 2 3" xfId="24123" xr:uid="{FE2DEADE-F5AE-4455-98C8-33C57B098384}"/>
    <cellStyle name="Normal 2 4 2 3 5 2 3" xfId="11465" xr:uid="{5C70217D-C761-459F-AD84-6EAE89E43823}"/>
    <cellStyle name="Normal 2 4 2 3 5 2 4" xfId="19906" xr:uid="{082C0A82-5D26-4A4F-99CD-A0A874612CBC}"/>
    <cellStyle name="Normal 2 4 2 3 5 3" xfId="5088" xr:uid="{00000000-0005-0000-0000-0000270F0000}"/>
    <cellStyle name="Normal 2 4 2 3 5 3 2" xfId="13538" xr:uid="{941858C1-9D50-475D-BD88-45062BE3E61D}"/>
    <cellStyle name="Normal 2 4 2 3 5 3 3" xfId="21978" xr:uid="{0FD3DDBE-AFFE-4B94-BE7B-CD79E2CD4F60}"/>
    <cellStyle name="Normal 2 4 2 3 5 4" xfId="9320" xr:uid="{9D4FA4EA-857F-4563-801C-EC1FE51DD8F8}"/>
    <cellStyle name="Normal 2 4 2 3 5 5" xfId="17761" xr:uid="{84BCC2C1-A133-43E8-B24A-910D648F506F}"/>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BDD1C3B8-F4ED-48A4-B8C8-A53840097D30}"/>
    <cellStyle name="Normal 2 4 2 3 6 2 2 3" xfId="24536" xr:uid="{C8728FE8-C694-44A6-9031-4CD933434545}"/>
    <cellStyle name="Normal 2 4 2 3 6 2 3" xfId="11878" xr:uid="{CAB86239-4AAD-4EC0-9AAB-2380B71EFEF5}"/>
    <cellStyle name="Normal 2 4 2 3 6 2 4" xfId="20319" xr:uid="{9972A462-A18D-48EF-B17B-F04D962989B1}"/>
    <cellStyle name="Normal 2 4 2 3 6 3" xfId="5501" xr:uid="{00000000-0005-0000-0000-00002B0F0000}"/>
    <cellStyle name="Normal 2 4 2 3 6 3 2" xfId="13951" xr:uid="{8C50CE54-0275-4666-8BD3-EC9A7AC42779}"/>
    <cellStyle name="Normal 2 4 2 3 6 3 3" xfId="22391" xr:uid="{7FCC092B-1782-4B07-B051-CFC68A3D59A9}"/>
    <cellStyle name="Normal 2 4 2 3 6 4" xfId="9733" xr:uid="{F2B716AA-9318-4F71-BE2A-684918123170}"/>
    <cellStyle name="Normal 2 4 2 3 6 5" xfId="18174" xr:uid="{164D706D-0204-402C-8198-D79E6FC36235}"/>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B62D9A65-A5FF-4CF1-AF92-3589EF6D2CEB}"/>
    <cellStyle name="Normal 2 4 2 3 7 2 2 3" xfId="24949" xr:uid="{7F824270-BCBE-4317-A566-611795A75C9B}"/>
    <cellStyle name="Normal 2 4 2 3 7 2 3" xfId="12291" xr:uid="{8B9FC731-9D96-40C2-AC40-E2863B6DFE44}"/>
    <cellStyle name="Normal 2 4 2 3 7 2 4" xfId="20732" xr:uid="{DFD6D084-7B03-4092-9C53-924896F93DA7}"/>
    <cellStyle name="Normal 2 4 2 3 7 3" xfId="5914" xr:uid="{00000000-0005-0000-0000-00002F0F0000}"/>
    <cellStyle name="Normal 2 4 2 3 7 3 2" xfId="14364" xr:uid="{C470D140-DF1F-4F1C-97B9-70F40A747546}"/>
    <cellStyle name="Normal 2 4 2 3 7 3 3" xfId="22804" xr:uid="{1D3C3C91-81EA-4B02-A445-58DB2F06C927}"/>
    <cellStyle name="Normal 2 4 2 3 7 4" xfId="10146" xr:uid="{33981E23-0EF7-4242-8E7F-9AD92B3C8B44}"/>
    <cellStyle name="Normal 2 4 2 3 7 5" xfId="18587" xr:uid="{8103F574-A509-4E42-9DAB-5FA7D644A8C9}"/>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D8B66CB8-D197-4561-91A5-13DFFFB2DDA4}"/>
    <cellStyle name="Normal 2 4 2 3 8 2 2 3" xfId="25362" xr:uid="{5E0F3B41-8F95-4BDA-B429-CC01BFE7E00F}"/>
    <cellStyle name="Normal 2 4 2 3 8 2 3" xfId="12704" xr:uid="{3C36D939-E304-494A-B975-A350BFEF24C0}"/>
    <cellStyle name="Normal 2 4 2 3 8 2 4" xfId="21145" xr:uid="{A359AD32-4E01-44C8-8283-440B9D5B95E7}"/>
    <cellStyle name="Normal 2 4 2 3 8 3" xfId="6327" xr:uid="{00000000-0005-0000-0000-0000330F0000}"/>
    <cellStyle name="Normal 2 4 2 3 8 3 2" xfId="14777" xr:uid="{FAE617A0-55AC-4626-9CBB-185D6566A4F7}"/>
    <cellStyle name="Normal 2 4 2 3 8 3 3" xfId="23217" xr:uid="{F2800453-624E-477A-B27C-EFA4786A66C8}"/>
    <cellStyle name="Normal 2 4 2 3 8 4" xfId="10559" xr:uid="{E3DEB353-11AD-47F3-BB0C-B845051EA95D}"/>
    <cellStyle name="Normal 2 4 2 3 8 5" xfId="19000" xr:uid="{EED99561-84D7-4B02-A1C7-4EC1AAC38DB3}"/>
    <cellStyle name="Normal 2 4 2 3 9" xfId="2457" xr:uid="{00000000-0005-0000-0000-0000340F0000}"/>
    <cellStyle name="Normal 2 4 2 3 9 2" xfId="6740" xr:uid="{00000000-0005-0000-0000-0000350F0000}"/>
    <cellStyle name="Normal 2 4 2 3 9 2 2" xfId="15190" xr:uid="{982903D6-175D-4856-A23F-4CE4EA70B0AE}"/>
    <cellStyle name="Normal 2 4 2 3 9 2 3" xfId="23630" xr:uid="{5839ED47-CF01-427C-B6C8-3CB856200D1C}"/>
    <cellStyle name="Normal 2 4 2 3 9 3" xfId="10972" xr:uid="{0435F4CB-68FD-475A-90AA-C5F4C2493123}"/>
    <cellStyle name="Normal 2 4 2 3 9 4" xfId="19413" xr:uid="{D7AA9DED-A008-4C21-91C2-EDF4EEECBA08}"/>
    <cellStyle name="Normal 2 4 2 4" xfId="289" xr:uid="{00000000-0005-0000-0000-0000360F0000}"/>
    <cellStyle name="Normal 2 4 2 4 10" xfId="8914" xr:uid="{C1E589DD-504A-4996-BC29-DD66FF500010}"/>
    <cellStyle name="Normal 2 4 2 4 11" xfId="17355" xr:uid="{37736809-9A57-4BB5-9CAE-CA639671B76C}"/>
    <cellStyle name="Normal 2 4 2 4 2" xfId="290" xr:uid="{00000000-0005-0000-0000-0000370F0000}"/>
    <cellStyle name="Normal 2 4 2 4 2 10" xfId="17356" xr:uid="{1E83A38B-6B48-4A44-80D0-D4948E2E6325}"/>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11459A8D-6CC5-4206-AE15-78C19E649E35}"/>
    <cellStyle name="Normal 2 4 2 4 2 2 2 2 2 3" xfId="24133" xr:uid="{7606AEEB-E862-4689-B36C-DC9AB766F4E7}"/>
    <cellStyle name="Normal 2 4 2 4 2 2 2 2 3" xfId="11475" xr:uid="{F2E577F9-5A30-411D-B096-A4BD0CA1CE48}"/>
    <cellStyle name="Normal 2 4 2 4 2 2 2 2 4" xfId="19916" xr:uid="{553FDEB7-F381-4155-8F83-DF6878AA0506}"/>
    <cellStyle name="Normal 2 4 2 4 2 2 2 3" xfId="5098" xr:uid="{00000000-0005-0000-0000-00003C0F0000}"/>
    <cellStyle name="Normal 2 4 2 4 2 2 2 3 2" xfId="13548" xr:uid="{37EBAC56-00BA-4086-85F3-3A05EC7A7D28}"/>
    <cellStyle name="Normal 2 4 2 4 2 2 2 3 3" xfId="21988" xr:uid="{A4B99778-5364-4050-9B2A-473FC49BD726}"/>
    <cellStyle name="Normal 2 4 2 4 2 2 2 4" xfId="9330" xr:uid="{F19F94C5-31E1-48C9-9FBA-BB740ED14EE6}"/>
    <cellStyle name="Normal 2 4 2 4 2 2 2 5" xfId="17771" xr:uid="{EE4662E0-E96A-4162-9A99-F3A268FCB858}"/>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76D07D3B-AF0A-4362-80A2-BFA12E2A287C}"/>
    <cellStyle name="Normal 2 4 2 4 2 2 3 2 2 3" xfId="24546" xr:uid="{6CF3F006-7AA9-45BC-9204-1A4F17FA56C4}"/>
    <cellStyle name="Normal 2 4 2 4 2 2 3 2 3" xfId="11888" xr:uid="{47833277-C661-47C1-AF76-567202EEAB78}"/>
    <cellStyle name="Normal 2 4 2 4 2 2 3 2 4" xfId="20329" xr:uid="{0C56E15D-3B72-4D1D-B157-8C6D6930B8B9}"/>
    <cellStyle name="Normal 2 4 2 4 2 2 3 3" xfId="5511" xr:uid="{00000000-0005-0000-0000-0000400F0000}"/>
    <cellStyle name="Normal 2 4 2 4 2 2 3 3 2" xfId="13961" xr:uid="{3E6A7ADA-F7DD-4A47-80A2-8EDEC84B5FCD}"/>
    <cellStyle name="Normal 2 4 2 4 2 2 3 3 3" xfId="22401" xr:uid="{557B3C13-1A1B-4370-8A29-F1F68CF59302}"/>
    <cellStyle name="Normal 2 4 2 4 2 2 3 4" xfId="9743" xr:uid="{D0A74FDB-D84C-46CF-ADFB-2720E174EB07}"/>
    <cellStyle name="Normal 2 4 2 4 2 2 3 5" xfId="18184" xr:uid="{F2220223-97E1-40BA-B4CA-4BABFFFAF18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A18ED98A-D61E-438F-9B0B-230FFBA6F100}"/>
    <cellStyle name="Normal 2 4 2 4 2 2 4 2 2 3" xfId="24959" xr:uid="{0FC5B8AA-4B96-4EC4-A0BB-09BF6D3B29D7}"/>
    <cellStyle name="Normal 2 4 2 4 2 2 4 2 3" xfId="12301" xr:uid="{22F1F44D-B9CA-420D-AEF4-BA449EB2AE73}"/>
    <cellStyle name="Normal 2 4 2 4 2 2 4 2 4" xfId="20742" xr:uid="{009840A7-3F02-41EF-9125-B169EBCEE0C7}"/>
    <cellStyle name="Normal 2 4 2 4 2 2 4 3" xfId="5924" xr:uid="{00000000-0005-0000-0000-0000440F0000}"/>
    <cellStyle name="Normal 2 4 2 4 2 2 4 3 2" xfId="14374" xr:uid="{138CA178-F0F4-417F-9780-E10E44B0E5DC}"/>
    <cellStyle name="Normal 2 4 2 4 2 2 4 3 3" xfId="22814" xr:uid="{6AE3508E-E897-4397-A985-EC6F07ADB783}"/>
    <cellStyle name="Normal 2 4 2 4 2 2 4 4" xfId="10156" xr:uid="{672ABC27-92EE-4E73-9E3F-EBD681251580}"/>
    <cellStyle name="Normal 2 4 2 4 2 2 4 5" xfId="18597" xr:uid="{43C08BFF-C5D5-4654-A2DB-386E916826DD}"/>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16197240-88F0-4E09-8FBC-320BFFB3EACB}"/>
    <cellStyle name="Normal 2 4 2 4 2 2 5 2 2 3" xfId="25372" xr:uid="{65B98ED0-94D5-4E29-B31B-F7EDF9A30FDF}"/>
    <cellStyle name="Normal 2 4 2 4 2 2 5 2 3" xfId="12714" xr:uid="{FAEA8057-3C28-409B-B475-C019BA8CF632}"/>
    <cellStyle name="Normal 2 4 2 4 2 2 5 2 4" xfId="21155" xr:uid="{41CC22D9-5382-43E2-9768-5A24DB4B956C}"/>
    <cellStyle name="Normal 2 4 2 4 2 2 5 3" xfId="6337" xr:uid="{00000000-0005-0000-0000-0000480F0000}"/>
    <cellStyle name="Normal 2 4 2 4 2 2 5 3 2" xfId="14787" xr:uid="{762A541B-0163-4AF0-A210-8AAB7C9F9292}"/>
    <cellStyle name="Normal 2 4 2 4 2 2 5 3 3" xfId="23227" xr:uid="{CB2D0D46-E231-4D40-A1B9-5C18D0E6B001}"/>
    <cellStyle name="Normal 2 4 2 4 2 2 5 4" xfId="10569" xr:uid="{C940DEAE-43E2-48CD-B842-196EDDC72C6B}"/>
    <cellStyle name="Normal 2 4 2 4 2 2 5 5" xfId="19010" xr:uid="{8926AE0C-4978-48A3-A325-2BBFF0A6BA35}"/>
    <cellStyle name="Normal 2 4 2 4 2 2 6" xfId="2467" xr:uid="{00000000-0005-0000-0000-0000490F0000}"/>
    <cellStyle name="Normal 2 4 2 4 2 2 6 2" xfId="6750" xr:uid="{00000000-0005-0000-0000-00004A0F0000}"/>
    <cellStyle name="Normal 2 4 2 4 2 2 6 2 2" xfId="15200" xr:uid="{364C1A67-D0D6-4A84-911C-867D661EA959}"/>
    <cellStyle name="Normal 2 4 2 4 2 2 6 2 3" xfId="23640" xr:uid="{AEFA4122-8CA1-41DD-834B-DF3D58C779FF}"/>
    <cellStyle name="Normal 2 4 2 4 2 2 6 3" xfId="10982" xr:uid="{D3A3944D-DC4D-410D-A7B5-24774D8989D6}"/>
    <cellStyle name="Normal 2 4 2 4 2 2 6 4" xfId="19423" xr:uid="{027C15B2-2837-4E41-9CF3-B5BDB7552643}"/>
    <cellStyle name="Normal 2 4 2 4 2 2 7" xfId="4684" xr:uid="{00000000-0005-0000-0000-00004B0F0000}"/>
    <cellStyle name="Normal 2 4 2 4 2 2 7 2" xfId="13134" xr:uid="{52A4BCD3-F82B-4782-804D-C95768BC513C}"/>
    <cellStyle name="Normal 2 4 2 4 2 2 7 3" xfId="21574" xr:uid="{92B1FEE8-9ED8-4EB9-A315-61DF46953C68}"/>
    <cellStyle name="Normal 2 4 2 4 2 2 8" xfId="8916" xr:uid="{5546C75F-5B9A-46BA-B29B-B6F7567CF486}"/>
    <cellStyle name="Normal 2 4 2 4 2 2 9" xfId="17357" xr:uid="{F530918B-3FC2-4857-B90C-03CFBAEEE92B}"/>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7DD5D886-8349-4BD7-BD6B-516866775E97}"/>
    <cellStyle name="Normal 2 4 2 4 2 3 2 2 3" xfId="24132" xr:uid="{0ACD4480-34EB-4F2A-9469-0EFE48F2C3FF}"/>
    <cellStyle name="Normal 2 4 2 4 2 3 2 3" xfId="11474" xr:uid="{BC89B125-8459-43EC-920C-24C31301739B}"/>
    <cellStyle name="Normal 2 4 2 4 2 3 2 4" xfId="19915" xr:uid="{CDF7EB19-5155-4928-87CF-FA7710E5D1CF}"/>
    <cellStyle name="Normal 2 4 2 4 2 3 3" xfId="5097" xr:uid="{00000000-0005-0000-0000-00004F0F0000}"/>
    <cellStyle name="Normal 2 4 2 4 2 3 3 2" xfId="13547" xr:uid="{0A4AF777-223B-4572-AA7D-DBF5636FE71A}"/>
    <cellStyle name="Normal 2 4 2 4 2 3 3 3" xfId="21987" xr:uid="{631D92A1-E43E-41EB-AE47-9582E17EB1A3}"/>
    <cellStyle name="Normal 2 4 2 4 2 3 4" xfId="9329" xr:uid="{99BEEC68-B3EB-460F-AEFA-832614494B05}"/>
    <cellStyle name="Normal 2 4 2 4 2 3 5" xfId="17770" xr:uid="{3E4AD0B7-9410-47F5-8234-2EE80A4C6F0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4D03ED78-79E4-48C1-8095-548F03FF674D}"/>
    <cellStyle name="Normal 2 4 2 4 2 4 2 2 3" xfId="24545" xr:uid="{7B9AE74D-5220-46A0-A447-E29080F05803}"/>
    <cellStyle name="Normal 2 4 2 4 2 4 2 3" xfId="11887" xr:uid="{40DD2DE1-A7D0-483F-ADF0-D51ECB46D992}"/>
    <cellStyle name="Normal 2 4 2 4 2 4 2 4" xfId="20328" xr:uid="{1EEB99E6-8946-4934-82C4-5D44209D84B0}"/>
    <cellStyle name="Normal 2 4 2 4 2 4 3" xfId="5510" xr:uid="{00000000-0005-0000-0000-0000530F0000}"/>
    <cellStyle name="Normal 2 4 2 4 2 4 3 2" xfId="13960" xr:uid="{5C50BCF9-C8AD-41DD-8144-C8F4E6145AC0}"/>
    <cellStyle name="Normal 2 4 2 4 2 4 3 3" xfId="22400" xr:uid="{897B9FFE-2897-4B61-97D3-261C6C6F7C3A}"/>
    <cellStyle name="Normal 2 4 2 4 2 4 4" xfId="9742" xr:uid="{D3A3B556-2CCE-4531-A959-7FD09BEBCE1D}"/>
    <cellStyle name="Normal 2 4 2 4 2 4 5" xfId="18183" xr:uid="{6535D771-1CC4-4A18-845F-23569EB53A2D}"/>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1296F232-32ED-4C6D-B79C-10EFA2793758}"/>
    <cellStyle name="Normal 2 4 2 4 2 5 2 2 3" xfId="24958" xr:uid="{7323D97B-8722-4DA4-9C83-5888FF91E784}"/>
    <cellStyle name="Normal 2 4 2 4 2 5 2 3" xfId="12300" xr:uid="{53BB9453-74EB-4E2C-8476-EE5E71ED646F}"/>
    <cellStyle name="Normal 2 4 2 4 2 5 2 4" xfId="20741" xr:uid="{D7BA1D17-1D1A-4174-A63A-AC4ADF785FB8}"/>
    <cellStyle name="Normal 2 4 2 4 2 5 3" xfId="5923" xr:uid="{00000000-0005-0000-0000-0000570F0000}"/>
    <cellStyle name="Normal 2 4 2 4 2 5 3 2" xfId="14373" xr:uid="{7B120761-76BD-47DE-8A65-14A789CE7375}"/>
    <cellStyle name="Normal 2 4 2 4 2 5 3 3" xfId="22813" xr:uid="{DDDB7425-9C59-42FA-A0F3-6C4C518A3880}"/>
    <cellStyle name="Normal 2 4 2 4 2 5 4" xfId="10155" xr:uid="{3A16D559-951D-461B-9AC2-C2A419D338CB}"/>
    <cellStyle name="Normal 2 4 2 4 2 5 5" xfId="18596" xr:uid="{6B4235F5-21B6-4843-9A8C-A279E371B9C3}"/>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32F81D5F-5114-49B2-82DC-491C8AA2CF7A}"/>
    <cellStyle name="Normal 2 4 2 4 2 6 2 2 3" xfId="25371" xr:uid="{202CDBD0-3134-40BD-97C5-B21FFF292CEF}"/>
    <cellStyle name="Normal 2 4 2 4 2 6 2 3" xfId="12713" xr:uid="{21CB0327-F35F-43CA-9AE3-DABD09D49AAB}"/>
    <cellStyle name="Normal 2 4 2 4 2 6 2 4" xfId="21154" xr:uid="{90A2A717-2200-4703-BEFE-79C9006AEA64}"/>
    <cellStyle name="Normal 2 4 2 4 2 6 3" xfId="6336" xr:uid="{00000000-0005-0000-0000-00005B0F0000}"/>
    <cellStyle name="Normal 2 4 2 4 2 6 3 2" xfId="14786" xr:uid="{470AD0B1-2304-483A-B48A-A079222B0D3A}"/>
    <cellStyle name="Normal 2 4 2 4 2 6 3 3" xfId="23226" xr:uid="{ADA38F0E-B4D2-4537-B526-F09C23813418}"/>
    <cellStyle name="Normal 2 4 2 4 2 6 4" xfId="10568" xr:uid="{37116B41-404C-48E3-B6A8-9EAE000119F6}"/>
    <cellStyle name="Normal 2 4 2 4 2 6 5" xfId="19009" xr:uid="{123098A9-539B-4BCA-8839-3313D21334D4}"/>
    <cellStyle name="Normal 2 4 2 4 2 7" xfId="2466" xr:uid="{00000000-0005-0000-0000-00005C0F0000}"/>
    <cellStyle name="Normal 2 4 2 4 2 7 2" xfId="6749" xr:uid="{00000000-0005-0000-0000-00005D0F0000}"/>
    <cellStyle name="Normal 2 4 2 4 2 7 2 2" xfId="15199" xr:uid="{E3A49C0F-586E-4DF3-A6E3-BFC713DAA449}"/>
    <cellStyle name="Normal 2 4 2 4 2 7 2 3" xfId="23639" xr:uid="{81B2DFF0-2667-46FB-9173-DD28807680B9}"/>
    <cellStyle name="Normal 2 4 2 4 2 7 3" xfId="10981" xr:uid="{D4B04809-8FC5-4415-AA12-E041650B231C}"/>
    <cellStyle name="Normal 2 4 2 4 2 7 4" xfId="19422" xr:uid="{25D1BC22-1B38-4170-8ECB-A9F393E76744}"/>
    <cellStyle name="Normal 2 4 2 4 2 8" xfId="4683" xr:uid="{00000000-0005-0000-0000-00005E0F0000}"/>
    <cellStyle name="Normal 2 4 2 4 2 8 2" xfId="13133" xr:uid="{56913E01-1A9F-4E7C-9548-DC49C17A70F9}"/>
    <cellStyle name="Normal 2 4 2 4 2 8 3" xfId="21573" xr:uid="{FEBC6E5E-9BD0-4597-A087-B7E52A2DC0EC}"/>
    <cellStyle name="Normal 2 4 2 4 2 9" xfId="8915" xr:uid="{6E586A1D-8EAC-4064-B747-5BF429C07D8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A7D8BBD0-236D-413D-9629-0F208DE421B5}"/>
    <cellStyle name="Normal 2 4 2 4 3 2 2 2 3" xfId="24134" xr:uid="{0D3B0721-F416-4F48-8478-5BDE9DBB396F}"/>
    <cellStyle name="Normal 2 4 2 4 3 2 2 3" xfId="11476" xr:uid="{99ADC8E9-38F4-4DF7-A455-F031B6D52ACD}"/>
    <cellStyle name="Normal 2 4 2 4 3 2 2 4" xfId="19917" xr:uid="{3154F1A2-DA50-4041-B3F5-C3D70E64E657}"/>
    <cellStyle name="Normal 2 4 2 4 3 2 3" xfId="5099" xr:uid="{00000000-0005-0000-0000-0000630F0000}"/>
    <cellStyle name="Normal 2 4 2 4 3 2 3 2" xfId="13549" xr:uid="{94F82545-7C4D-4DDF-9AE1-067CB0D8EFED}"/>
    <cellStyle name="Normal 2 4 2 4 3 2 3 3" xfId="21989" xr:uid="{BBA1678A-DDE9-4D2D-8F4B-B171BE6AC8FA}"/>
    <cellStyle name="Normal 2 4 2 4 3 2 4" xfId="9331" xr:uid="{AC37E9DD-9993-486B-846D-F1923D66F347}"/>
    <cellStyle name="Normal 2 4 2 4 3 2 5" xfId="17772" xr:uid="{12DF0D19-8E20-42AB-9C39-515DB5DDCCDC}"/>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26B4834F-2A1D-4FF0-9E50-5B720C82B7AB}"/>
    <cellStyle name="Normal 2 4 2 4 3 3 2 2 3" xfId="24547" xr:uid="{55580A3F-2A7A-44DB-ABDE-CD19BD34C224}"/>
    <cellStyle name="Normal 2 4 2 4 3 3 2 3" xfId="11889" xr:uid="{7299C108-A5EA-430B-BFE4-0512779D30A9}"/>
    <cellStyle name="Normal 2 4 2 4 3 3 2 4" xfId="20330" xr:uid="{33D47C6C-CA33-4221-850D-D5862FFA5DEB}"/>
    <cellStyle name="Normal 2 4 2 4 3 3 3" xfId="5512" xr:uid="{00000000-0005-0000-0000-0000670F0000}"/>
    <cellStyle name="Normal 2 4 2 4 3 3 3 2" xfId="13962" xr:uid="{1F300E58-117B-4952-998B-2704D076C369}"/>
    <cellStyle name="Normal 2 4 2 4 3 3 3 3" xfId="22402" xr:uid="{62CA0182-C81E-482D-8F81-F48592B74215}"/>
    <cellStyle name="Normal 2 4 2 4 3 3 4" xfId="9744" xr:uid="{1489DA35-F924-4846-85D5-5A5990FF657E}"/>
    <cellStyle name="Normal 2 4 2 4 3 3 5" xfId="18185" xr:uid="{957EC8DC-E4CF-4D05-A38E-80F060658ABE}"/>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FBD5B9AE-8973-430F-B106-9B7BE6075D66}"/>
    <cellStyle name="Normal 2 4 2 4 3 4 2 2 3" xfId="24960" xr:uid="{DF7CEBF9-B311-4CF0-8976-3876C501BD54}"/>
    <cellStyle name="Normal 2 4 2 4 3 4 2 3" xfId="12302" xr:uid="{AB37D56B-D90B-4606-BA69-83F0346ABC86}"/>
    <cellStyle name="Normal 2 4 2 4 3 4 2 4" xfId="20743" xr:uid="{78665A8C-86FF-4AD0-A6D2-7BD8E868B97A}"/>
    <cellStyle name="Normal 2 4 2 4 3 4 3" xfId="5925" xr:uid="{00000000-0005-0000-0000-00006B0F0000}"/>
    <cellStyle name="Normal 2 4 2 4 3 4 3 2" xfId="14375" xr:uid="{8B43980B-A228-4CC4-B24F-3AFC11A08C3E}"/>
    <cellStyle name="Normal 2 4 2 4 3 4 3 3" xfId="22815" xr:uid="{4F41D938-CDCA-4305-B893-8E068E24A680}"/>
    <cellStyle name="Normal 2 4 2 4 3 4 4" xfId="10157" xr:uid="{FFEBAC9C-ED8E-4005-9E02-72649DA36197}"/>
    <cellStyle name="Normal 2 4 2 4 3 4 5" xfId="18598" xr:uid="{90AA5774-4531-4A21-A993-F29E8A751A7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23F01FCC-EF06-4CC1-B1B5-C09BA87CE434}"/>
    <cellStyle name="Normal 2 4 2 4 3 5 2 2 3" xfId="25373" xr:uid="{AB63CAF2-A803-4CCA-BBCA-50E5C78BF69B}"/>
    <cellStyle name="Normal 2 4 2 4 3 5 2 3" xfId="12715" xr:uid="{F7F4AC9F-6DDB-4356-AB13-1E16A897843A}"/>
    <cellStyle name="Normal 2 4 2 4 3 5 2 4" xfId="21156" xr:uid="{6F5642BC-875F-4B16-9678-22A321D82FEA}"/>
    <cellStyle name="Normal 2 4 2 4 3 5 3" xfId="6338" xr:uid="{00000000-0005-0000-0000-00006F0F0000}"/>
    <cellStyle name="Normal 2 4 2 4 3 5 3 2" xfId="14788" xr:uid="{5FB92E53-C2A3-4202-8298-612347E78BF9}"/>
    <cellStyle name="Normal 2 4 2 4 3 5 3 3" xfId="23228" xr:uid="{7ED34D66-C92A-40FA-B9A4-8A10C1AE14EB}"/>
    <cellStyle name="Normal 2 4 2 4 3 5 4" xfId="10570" xr:uid="{C8DB3F60-CFCA-4BB6-AC47-E8E2743FDE08}"/>
    <cellStyle name="Normal 2 4 2 4 3 5 5" xfId="19011" xr:uid="{78760ECD-6851-476A-A389-CE3D1072DF88}"/>
    <cellStyle name="Normal 2 4 2 4 3 6" xfId="2468" xr:uid="{00000000-0005-0000-0000-0000700F0000}"/>
    <cellStyle name="Normal 2 4 2 4 3 6 2" xfId="6751" xr:uid="{00000000-0005-0000-0000-0000710F0000}"/>
    <cellStyle name="Normal 2 4 2 4 3 6 2 2" xfId="15201" xr:uid="{419E9347-F91A-408C-A2C9-589B40105779}"/>
    <cellStyle name="Normal 2 4 2 4 3 6 2 3" xfId="23641" xr:uid="{F07939BC-28BF-4001-A838-37B678891093}"/>
    <cellStyle name="Normal 2 4 2 4 3 6 3" xfId="10983" xr:uid="{2E8822FB-818F-478C-BB29-FBDC6E5120D3}"/>
    <cellStyle name="Normal 2 4 2 4 3 6 4" xfId="19424" xr:uid="{39D1AE5B-B42F-4344-9A20-235DFA84891F}"/>
    <cellStyle name="Normal 2 4 2 4 3 7" xfId="4685" xr:uid="{00000000-0005-0000-0000-0000720F0000}"/>
    <cellStyle name="Normal 2 4 2 4 3 7 2" xfId="13135" xr:uid="{314310D2-CE2A-4DA9-AA91-FD2C7F5EA695}"/>
    <cellStyle name="Normal 2 4 2 4 3 7 3" xfId="21575" xr:uid="{4E911F27-651C-4E45-A157-996C74D22286}"/>
    <cellStyle name="Normal 2 4 2 4 3 8" xfId="8917" xr:uid="{FE182BFA-8229-41C9-8AD8-533560F00C89}"/>
    <cellStyle name="Normal 2 4 2 4 3 9" xfId="17358" xr:uid="{4934E4A5-A7A6-4B39-B8A4-9790ED2BB0B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3ADB0A35-C398-405C-9ACB-E526066467A7}"/>
    <cellStyle name="Normal 2 4 2 4 4 2 2 3" xfId="24131" xr:uid="{390126D5-5303-456C-90DD-2598FEBE0EF4}"/>
    <cellStyle name="Normal 2 4 2 4 4 2 3" xfId="11473" xr:uid="{A67EF997-DD5C-4EE6-BEAB-584DCA9C1BE1}"/>
    <cellStyle name="Normal 2 4 2 4 4 2 4" xfId="19914" xr:uid="{1F5CCCF2-8A2B-4AD8-9D13-E1BEE64BDFCC}"/>
    <cellStyle name="Normal 2 4 2 4 4 3" xfId="5096" xr:uid="{00000000-0005-0000-0000-0000760F0000}"/>
    <cellStyle name="Normal 2 4 2 4 4 3 2" xfId="13546" xr:uid="{209F13C9-3063-481D-83CA-70981D6B9E2E}"/>
    <cellStyle name="Normal 2 4 2 4 4 3 3" xfId="21986" xr:uid="{338B687A-E182-4339-95D6-5FF76E8D3605}"/>
    <cellStyle name="Normal 2 4 2 4 4 4" xfId="9328" xr:uid="{2ECF653C-D3E3-436D-8E65-9382063B092C}"/>
    <cellStyle name="Normal 2 4 2 4 4 5" xfId="17769" xr:uid="{633A3912-E0AB-4806-80B6-4184B7D02DE5}"/>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AB939B22-CFF4-410B-BEB9-38190DA11AC8}"/>
    <cellStyle name="Normal 2 4 2 4 5 2 2 3" xfId="24544" xr:uid="{4DAF9551-9597-47DB-874B-7F84CF923697}"/>
    <cellStyle name="Normal 2 4 2 4 5 2 3" xfId="11886" xr:uid="{C9AA5671-6F06-43A5-87E0-F79264CC8B9F}"/>
    <cellStyle name="Normal 2 4 2 4 5 2 4" xfId="20327" xr:uid="{AE33F7DC-9F4D-4D05-8B28-F426D036AF49}"/>
    <cellStyle name="Normal 2 4 2 4 5 3" xfId="5509" xr:uid="{00000000-0005-0000-0000-00007A0F0000}"/>
    <cellStyle name="Normal 2 4 2 4 5 3 2" xfId="13959" xr:uid="{B03A43A0-63A0-4F4F-A55F-43E4562080B2}"/>
    <cellStyle name="Normal 2 4 2 4 5 3 3" xfId="22399" xr:uid="{C568E88B-595E-4C25-A4C3-B1FBB9122745}"/>
    <cellStyle name="Normal 2 4 2 4 5 4" xfId="9741" xr:uid="{A8A413CB-2827-4AC0-8841-EB267184C6CA}"/>
    <cellStyle name="Normal 2 4 2 4 5 5" xfId="18182" xr:uid="{71DCFEA6-C349-42E3-87EB-8EDD0C0E311D}"/>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D22BAD99-69FB-4008-80B1-D8B3BD7393A8}"/>
    <cellStyle name="Normal 2 4 2 4 6 2 2 3" xfId="24957" xr:uid="{047BDEB3-4164-443E-814F-D90CFC3A2FCF}"/>
    <cellStyle name="Normal 2 4 2 4 6 2 3" xfId="12299" xr:uid="{D2253A7D-DC8E-4D67-B080-3AD09526466A}"/>
    <cellStyle name="Normal 2 4 2 4 6 2 4" xfId="20740" xr:uid="{96709837-3A54-4816-8528-03FB872A824E}"/>
    <cellStyle name="Normal 2 4 2 4 6 3" xfId="5922" xr:uid="{00000000-0005-0000-0000-00007E0F0000}"/>
    <cellStyle name="Normal 2 4 2 4 6 3 2" xfId="14372" xr:uid="{4EFFE17D-347B-4AB2-8B4D-2C257129D50D}"/>
    <cellStyle name="Normal 2 4 2 4 6 3 3" xfId="22812" xr:uid="{23F47855-2B4E-4478-9626-1C6BB5BA0D13}"/>
    <cellStyle name="Normal 2 4 2 4 6 4" xfId="10154" xr:uid="{3EC62AA2-050A-4D00-AD09-F0BB29187267}"/>
    <cellStyle name="Normal 2 4 2 4 6 5" xfId="18595" xr:uid="{39437A3A-8494-4F4C-B941-9199E4246BD4}"/>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5F953E3F-E199-44F1-965F-FCB9473BF437}"/>
    <cellStyle name="Normal 2 4 2 4 7 2 2 3" xfId="25370" xr:uid="{68102110-9BDE-44E0-8ADC-0B51477C00D7}"/>
    <cellStyle name="Normal 2 4 2 4 7 2 3" xfId="12712" xr:uid="{BB9C4895-450F-467C-8528-0EF4A3B6690E}"/>
    <cellStyle name="Normal 2 4 2 4 7 2 4" xfId="21153" xr:uid="{10435A84-C4E2-40A1-96E5-A44201685587}"/>
    <cellStyle name="Normal 2 4 2 4 7 3" xfId="6335" xr:uid="{00000000-0005-0000-0000-0000820F0000}"/>
    <cellStyle name="Normal 2 4 2 4 7 3 2" xfId="14785" xr:uid="{B3C4F4CF-E7FC-4FC1-8D5A-4CF3998AE122}"/>
    <cellStyle name="Normal 2 4 2 4 7 3 3" xfId="23225" xr:uid="{8C70A446-5BBE-4BDE-93AC-72E4A8D8E165}"/>
    <cellStyle name="Normal 2 4 2 4 7 4" xfId="10567" xr:uid="{3A44E4B2-DA9A-44FC-8795-CCCCF0F1808A}"/>
    <cellStyle name="Normal 2 4 2 4 7 5" xfId="19008" xr:uid="{D42B3A13-173F-4485-8161-218C18000EF7}"/>
    <cellStyle name="Normal 2 4 2 4 8" xfId="2465" xr:uid="{00000000-0005-0000-0000-0000830F0000}"/>
    <cellStyle name="Normal 2 4 2 4 8 2" xfId="6748" xr:uid="{00000000-0005-0000-0000-0000840F0000}"/>
    <cellStyle name="Normal 2 4 2 4 8 2 2" xfId="15198" xr:uid="{6C4C1A05-C715-4102-A5F7-4F4166609013}"/>
    <cellStyle name="Normal 2 4 2 4 8 2 3" xfId="23638" xr:uid="{5B32F904-CF36-4044-9172-4AD14D8C2378}"/>
    <cellStyle name="Normal 2 4 2 4 8 3" xfId="10980" xr:uid="{57C43B74-B4D2-4838-8624-9B120D85AABC}"/>
    <cellStyle name="Normal 2 4 2 4 8 4" xfId="19421" xr:uid="{7D9D315E-7D32-4086-A54A-8C5D2A2BE636}"/>
    <cellStyle name="Normal 2 4 2 4 9" xfId="4682" xr:uid="{00000000-0005-0000-0000-0000850F0000}"/>
    <cellStyle name="Normal 2 4 2 4 9 2" xfId="13132" xr:uid="{12077209-E691-4A0F-A350-27282709A99E}"/>
    <cellStyle name="Normal 2 4 2 4 9 3" xfId="21572" xr:uid="{3BB7E6CF-0C30-43B6-B0E6-4659448FBF2E}"/>
    <cellStyle name="Normal 2 4 2 5" xfId="293" xr:uid="{00000000-0005-0000-0000-0000860F0000}"/>
    <cellStyle name="Normal 2 4 2 5 10" xfId="17359" xr:uid="{AD8D8CCD-CE1D-460A-BBFF-C702335E236C}"/>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BFFDAD55-F68B-4976-B976-7E95A2908D1A}"/>
    <cellStyle name="Normal 2 4 2 5 2 2 2 2 3" xfId="24136" xr:uid="{086E6A37-6F34-4832-8C32-57DF6C22303B}"/>
    <cellStyle name="Normal 2 4 2 5 2 2 2 3" xfId="11478" xr:uid="{E6B467B6-56DF-41B2-99F2-172B12E829C4}"/>
    <cellStyle name="Normal 2 4 2 5 2 2 2 4" xfId="19919" xr:uid="{2D9E61F3-BFDB-4BF2-9153-EF02C04C68AE}"/>
    <cellStyle name="Normal 2 4 2 5 2 2 3" xfId="5101" xr:uid="{00000000-0005-0000-0000-00008B0F0000}"/>
    <cellStyle name="Normal 2 4 2 5 2 2 3 2" xfId="13551" xr:uid="{4A043C7A-E4CB-4FCD-AE28-99045BDD1C35}"/>
    <cellStyle name="Normal 2 4 2 5 2 2 3 3" xfId="21991" xr:uid="{1748FB2D-9989-42FC-B3E6-03B33A4241E0}"/>
    <cellStyle name="Normal 2 4 2 5 2 2 4" xfId="9333" xr:uid="{A36DFE54-1691-4CEE-9745-CD0A7BD1878A}"/>
    <cellStyle name="Normal 2 4 2 5 2 2 5" xfId="17774" xr:uid="{A340F130-3619-4E7B-9AAD-2F4218F97457}"/>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D16B3C10-8C65-4478-9290-B37C8A7BE1E5}"/>
    <cellStyle name="Normal 2 4 2 5 2 3 2 2 3" xfId="24549" xr:uid="{CBB18323-E8CF-489E-940E-327D81A06C7E}"/>
    <cellStyle name="Normal 2 4 2 5 2 3 2 3" xfId="11891" xr:uid="{8AAD7AF7-5A0E-4756-B78C-D8378E828568}"/>
    <cellStyle name="Normal 2 4 2 5 2 3 2 4" xfId="20332" xr:uid="{724A7D3E-2D35-44AC-975A-C1DCB73728A3}"/>
    <cellStyle name="Normal 2 4 2 5 2 3 3" xfId="5514" xr:uid="{00000000-0005-0000-0000-00008F0F0000}"/>
    <cellStyle name="Normal 2 4 2 5 2 3 3 2" xfId="13964" xr:uid="{3647BF36-C7C8-4DD1-A956-EA8356AFD230}"/>
    <cellStyle name="Normal 2 4 2 5 2 3 3 3" xfId="22404" xr:uid="{62F15F76-6318-45ED-8D66-C8CD7DBD9D91}"/>
    <cellStyle name="Normal 2 4 2 5 2 3 4" xfId="9746" xr:uid="{47BAA47B-D186-4205-9793-EFE2B61A894B}"/>
    <cellStyle name="Normal 2 4 2 5 2 3 5" xfId="18187" xr:uid="{A710E408-683E-44EB-83FB-475344D31A58}"/>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A9E1CD48-1C9C-4F83-B11D-FFC377681105}"/>
    <cellStyle name="Normal 2 4 2 5 2 4 2 2 3" xfId="24962" xr:uid="{39F5255C-D00C-407A-A226-17A56A86CFD3}"/>
    <cellStyle name="Normal 2 4 2 5 2 4 2 3" xfId="12304" xr:uid="{0BEF8EA7-DAC5-4E14-9914-62DD7EA117C7}"/>
    <cellStyle name="Normal 2 4 2 5 2 4 2 4" xfId="20745" xr:uid="{1C4CE9D0-6221-4277-86C9-30A9A1D40ADF}"/>
    <cellStyle name="Normal 2 4 2 5 2 4 3" xfId="5927" xr:uid="{00000000-0005-0000-0000-0000930F0000}"/>
    <cellStyle name="Normal 2 4 2 5 2 4 3 2" xfId="14377" xr:uid="{E7E62E6B-60AD-4F8D-A786-71812A427F88}"/>
    <cellStyle name="Normal 2 4 2 5 2 4 3 3" xfId="22817" xr:uid="{7AF02E29-422D-4F80-B6AC-B768A1E63976}"/>
    <cellStyle name="Normal 2 4 2 5 2 4 4" xfId="10159" xr:uid="{7EA83BC1-1AC4-42BE-B223-8E3E88CDE958}"/>
    <cellStyle name="Normal 2 4 2 5 2 4 5" xfId="18600" xr:uid="{E119AAD7-F369-45F2-8390-BB85045A95A9}"/>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C24EA3CC-0A70-4AFF-8BEB-77961E87B4E5}"/>
    <cellStyle name="Normal 2 4 2 5 2 5 2 2 3" xfId="25375" xr:uid="{3AD98F7A-14FD-4966-8E83-D8C785A95A9F}"/>
    <cellStyle name="Normal 2 4 2 5 2 5 2 3" xfId="12717" xr:uid="{6B2172C6-C90A-4AAE-84F8-B6F20B429D68}"/>
    <cellStyle name="Normal 2 4 2 5 2 5 2 4" xfId="21158" xr:uid="{598B1CB1-ED60-49DE-8EA0-D3F1431201D7}"/>
    <cellStyle name="Normal 2 4 2 5 2 5 3" xfId="6340" xr:uid="{00000000-0005-0000-0000-0000970F0000}"/>
    <cellStyle name="Normal 2 4 2 5 2 5 3 2" xfId="14790" xr:uid="{B06EC1F1-3B04-40FA-B3AA-68766BC9F56E}"/>
    <cellStyle name="Normal 2 4 2 5 2 5 3 3" xfId="23230" xr:uid="{1625CA74-A3A6-42C7-9E38-BD5A7FE7E5BA}"/>
    <cellStyle name="Normal 2 4 2 5 2 5 4" xfId="10572" xr:uid="{11D136F4-33A2-4BC0-AD33-5247857D4521}"/>
    <cellStyle name="Normal 2 4 2 5 2 5 5" xfId="19013" xr:uid="{11CD0178-FAD6-4F29-ADF3-D55F41758301}"/>
    <cellStyle name="Normal 2 4 2 5 2 6" xfId="2470" xr:uid="{00000000-0005-0000-0000-0000980F0000}"/>
    <cellStyle name="Normal 2 4 2 5 2 6 2" xfId="6753" xr:uid="{00000000-0005-0000-0000-0000990F0000}"/>
    <cellStyle name="Normal 2 4 2 5 2 6 2 2" xfId="15203" xr:uid="{3AFBA8CD-A8C8-4451-AD32-437938E008EC}"/>
    <cellStyle name="Normal 2 4 2 5 2 6 2 3" xfId="23643" xr:uid="{8036E75D-EA1C-499F-991F-E7CF6B4B8697}"/>
    <cellStyle name="Normal 2 4 2 5 2 6 3" xfId="10985" xr:uid="{BF0A5C2A-231C-43D7-9D48-EEAB79AE8911}"/>
    <cellStyle name="Normal 2 4 2 5 2 6 4" xfId="19426" xr:uid="{0523F83B-24A9-4C19-B034-FD3C9DD9BB16}"/>
    <cellStyle name="Normal 2 4 2 5 2 7" xfId="4687" xr:uid="{00000000-0005-0000-0000-00009A0F0000}"/>
    <cellStyle name="Normal 2 4 2 5 2 7 2" xfId="13137" xr:uid="{DEA3299D-A6D3-46A9-8659-70154BA8E343}"/>
    <cellStyle name="Normal 2 4 2 5 2 7 3" xfId="21577" xr:uid="{459A32D6-E2CC-45D6-8555-B01B729BE3CF}"/>
    <cellStyle name="Normal 2 4 2 5 2 8" xfId="8919" xr:uid="{20282EE4-68AE-41C5-9E5D-7328B4948C2E}"/>
    <cellStyle name="Normal 2 4 2 5 2 9" xfId="17360" xr:uid="{907CB1E1-1923-43FA-97C2-586FBEC0DEAD}"/>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8A3FEBFE-BB55-4923-8F96-B97FEEF19BD6}"/>
    <cellStyle name="Normal 2 4 2 5 3 2 2 3" xfId="24135" xr:uid="{0064F8D1-DB44-4630-8820-8CF133246D8B}"/>
    <cellStyle name="Normal 2 4 2 5 3 2 3" xfId="11477" xr:uid="{2C13E167-9AD8-4167-9CBE-72B5A8875D7D}"/>
    <cellStyle name="Normal 2 4 2 5 3 2 4" xfId="19918" xr:uid="{9148A38F-E51C-4FAB-A8F2-643428731D15}"/>
    <cellStyle name="Normal 2 4 2 5 3 3" xfId="5100" xr:uid="{00000000-0005-0000-0000-00009E0F0000}"/>
    <cellStyle name="Normal 2 4 2 5 3 3 2" xfId="13550" xr:uid="{988CCAFC-F3D5-46F0-8CEC-61C9D5E4B711}"/>
    <cellStyle name="Normal 2 4 2 5 3 3 3" xfId="21990" xr:uid="{ED977E23-512A-434E-83B9-EFCB550EAFF8}"/>
    <cellStyle name="Normal 2 4 2 5 3 4" xfId="9332" xr:uid="{3DDD2CB3-0C91-42B9-9CE8-BB325EFCD5DD}"/>
    <cellStyle name="Normal 2 4 2 5 3 5" xfId="17773" xr:uid="{57D7E7A6-803F-419F-B9C7-DC697837E7F7}"/>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154EF7C2-69E0-45B6-857D-50EAE2BA2D9C}"/>
    <cellStyle name="Normal 2 4 2 5 4 2 2 3" xfId="24548" xr:uid="{2AD28341-D614-475D-BA47-83FB93109F65}"/>
    <cellStyle name="Normal 2 4 2 5 4 2 3" xfId="11890" xr:uid="{361C8D04-AB48-4937-8392-640E66370AF1}"/>
    <cellStyle name="Normal 2 4 2 5 4 2 4" xfId="20331" xr:uid="{15EAFD30-15FF-4943-9F6B-1F27C938B3C2}"/>
    <cellStyle name="Normal 2 4 2 5 4 3" xfId="5513" xr:uid="{00000000-0005-0000-0000-0000A20F0000}"/>
    <cellStyle name="Normal 2 4 2 5 4 3 2" xfId="13963" xr:uid="{3A18983E-6E9F-4837-9FEC-0103B906A261}"/>
    <cellStyle name="Normal 2 4 2 5 4 3 3" xfId="22403" xr:uid="{E2D9993F-AA09-425E-9379-0FABCDAF55AE}"/>
    <cellStyle name="Normal 2 4 2 5 4 4" xfId="9745" xr:uid="{F3EE415F-125E-4A68-B8E7-7081FF73E967}"/>
    <cellStyle name="Normal 2 4 2 5 4 5" xfId="18186" xr:uid="{2FACAAD2-FAD8-4431-BF5F-87B26D9BEB8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0FB7DA91-984B-4BD8-A4E9-2AADFD7E9E4C}"/>
    <cellStyle name="Normal 2 4 2 5 5 2 2 3" xfId="24961" xr:uid="{32AE9F01-A4BC-47BD-8D7B-668E74D1E091}"/>
    <cellStyle name="Normal 2 4 2 5 5 2 3" xfId="12303" xr:uid="{ECA4419D-8CE9-42F8-9B24-8D7055ABC950}"/>
    <cellStyle name="Normal 2 4 2 5 5 2 4" xfId="20744" xr:uid="{0B4A0584-3679-48E6-BB3C-4D58326E0CC7}"/>
    <cellStyle name="Normal 2 4 2 5 5 3" xfId="5926" xr:uid="{00000000-0005-0000-0000-0000A60F0000}"/>
    <cellStyle name="Normal 2 4 2 5 5 3 2" xfId="14376" xr:uid="{D7ACF25A-FEF6-45FA-AEEE-1B8965592C51}"/>
    <cellStyle name="Normal 2 4 2 5 5 3 3" xfId="22816" xr:uid="{D3107308-5CA7-452F-93F6-9BA5D056C2AA}"/>
    <cellStyle name="Normal 2 4 2 5 5 4" xfId="10158" xr:uid="{03CC169D-FC5D-46C6-BE56-0E3CA97F496B}"/>
    <cellStyle name="Normal 2 4 2 5 5 5" xfId="18599" xr:uid="{C3B09B9C-4D5A-4321-8D30-B0717FBB70E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DB98D204-0B48-4209-8B83-39E19CE3C720}"/>
    <cellStyle name="Normal 2 4 2 5 6 2 2 3" xfId="25374" xr:uid="{164E66A5-8274-4FDB-9CA0-BDF910EC5C94}"/>
    <cellStyle name="Normal 2 4 2 5 6 2 3" xfId="12716" xr:uid="{6FB856AD-B1EE-409A-A81A-1B28A545D0DB}"/>
    <cellStyle name="Normal 2 4 2 5 6 2 4" xfId="21157" xr:uid="{942F23FC-0811-40B5-B42D-B525A0FE9D2B}"/>
    <cellStyle name="Normal 2 4 2 5 6 3" xfId="6339" xr:uid="{00000000-0005-0000-0000-0000AA0F0000}"/>
    <cellStyle name="Normal 2 4 2 5 6 3 2" xfId="14789" xr:uid="{A066BC93-7DB1-4AE1-9EB4-C2B36E945997}"/>
    <cellStyle name="Normal 2 4 2 5 6 3 3" xfId="23229" xr:uid="{E7FC2CAB-40EA-4735-BDAB-BA113D5E4854}"/>
    <cellStyle name="Normal 2 4 2 5 6 4" xfId="10571" xr:uid="{11385448-0EB7-43F9-A971-54402B27D6CF}"/>
    <cellStyle name="Normal 2 4 2 5 6 5" xfId="19012" xr:uid="{AB80DC8D-5C29-4FAB-8E76-509745C8CDF4}"/>
    <cellStyle name="Normal 2 4 2 5 7" xfId="2469" xr:uid="{00000000-0005-0000-0000-0000AB0F0000}"/>
    <cellStyle name="Normal 2 4 2 5 7 2" xfId="6752" xr:uid="{00000000-0005-0000-0000-0000AC0F0000}"/>
    <cellStyle name="Normal 2 4 2 5 7 2 2" xfId="15202" xr:uid="{8E22BAF8-856B-46E0-8515-A6B730F01814}"/>
    <cellStyle name="Normal 2 4 2 5 7 2 3" xfId="23642" xr:uid="{B0F72759-04B6-4922-888B-89AB13293036}"/>
    <cellStyle name="Normal 2 4 2 5 7 3" xfId="10984" xr:uid="{7211EBC4-23E5-4950-8888-E46F2298C496}"/>
    <cellStyle name="Normal 2 4 2 5 7 4" xfId="19425" xr:uid="{FC0B2722-260D-43B9-BBDB-9971423BA0BF}"/>
    <cellStyle name="Normal 2 4 2 5 8" xfId="4686" xr:uid="{00000000-0005-0000-0000-0000AD0F0000}"/>
    <cellStyle name="Normal 2 4 2 5 8 2" xfId="13136" xr:uid="{16EF08BD-C988-42CB-AC70-F4ABDD9C5191}"/>
    <cellStyle name="Normal 2 4 2 5 8 3" xfId="21576" xr:uid="{40ED61DD-7B5E-42A9-91BB-E95F1C499A5F}"/>
    <cellStyle name="Normal 2 4 2 5 9" xfId="8918" xr:uid="{4BF5224E-DA29-4394-AE76-A1698F7560B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9CA5FC85-CC94-4EDB-898D-B2459B96BF61}"/>
    <cellStyle name="Normal 2 4 2 6 2 2 2 3" xfId="24137" xr:uid="{6276C491-D064-4669-831A-50D29CEC35C8}"/>
    <cellStyle name="Normal 2 4 2 6 2 2 3" xfId="11479" xr:uid="{AE7813C1-2A08-40BD-B574-3ACEF720EA3F}"/>
    <cellStyle name="Normal 2 4 2 6 2 2 4" xfId="19920" xr:uid="{135BB067-9CBE-421C-A5ED-76441B0F2248}"/>
    <cellStyle name="Normal 2 4 2 6 2 3" xfId="5102" xr:uid="{00000000-0005-0000-0000-0000B20F0000}"/>
    <cellStyle name="Normal 2 4 2 6 2 3 2" xfId="13552" xr:uid="{535C2769-CCE4-423C-9295-876A88362ED9}"/>
    <cellStyle name="Normal 2 4 2 6 2 3 3" xfId="21992" xr:uid="{42FE2EA8-B3C6-419F-88B1-EEACD18E2765}"/>
    <cellStyle name="Normal 2 4 2 6 2 4" xfId="9334" xr:uid="{55457967-E0AA-4280-B1F9-F3840AFD528A}"/>
    <cellStyle name="Normal 2 4 2 6 2 5" xfId="17775" xr:uid="{97EC1370-D53D-442C-9D58-4D4F0498A497}"/>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BEBA35FA-CC53-494A-8237-D8050ED74FF4}"/>
    <cellStyle name="Normal 2 4 2 6 3 2 2 3" xfId="24550" xr:uid="{A0EF7D20-2C7D-4B2F-B619-3BAAFB5DF57E}"/>
    <cellStyle name="Normal 2 4 2 6 3 2 3" xfId="11892" xr:uid="{A7D1CBBB-AD6A-4C36-97D8-AA7C740E8144}"/>
    <cellStyle name="Normal 2 4 2 6 3 2 4" xfId="20333" xr:uid="{83922450-7795-42FE-A1B7-1429B53A4C0D}"/>
    <cellStyle name="Normal 2 4 2 6 3 3" xfId="5515" xr:uid="{00000000-0005-0000-0000-0000B60F0000}"/>
    <cellStyle name="Normal 2 4 2 6 3 3 2" xfId="13965" xr:uid="{E394629E-E045-4C9E-8217-A03D3FAFC652}"/>
    <cellStyle name="Normal 2 4 2 6 3 3 3" xfId="22405" xr:uid="{A9CFE93D-B250-4115-B82F-C89A8F441F41}"/>
    <cellStyle name="Normal 2 4 2 6 3 4" xfId="9747" xr:uid="{45A9F6D1-1462-4FA8-8508-861826FDF500}"/>
    <cellStyle name="Normal 2 4 2 6 3 5" xfId="18188" xr:uid="{133BC49C-B3FE-4691-AF5E-1B94C58314C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C2A13D1F-9DFC-4CD2-B42B-966A02C89EB0}"/>
    <cellStyle name="Normal 2 4 2 6 4 2 2 3" xfId="24963" xr:uid="{35DE6286-F911-4F07-8718-8CA7993377FE}"/>
    <cellStyle name="Normal 2 4 2 6 4 2 3" xfId="12305" xr:uid="{A3D50B3D-0AAF-4361-8016-75BD66ED0CC1}"/>
    <cellStyle name="Normal 2 4 2 6 4 2 4" xfId="20746" xr:uid="{338EE245-A04E-4D34-B636-E4416D8792D2}"/>
    <cellStyle name="Normal 2 4 2 6 4 3" xfId="5928" xr:uid="{00000000-0005-0000-0000-0000BA0F0000}"/>
    <cellStyle name="Normal 2 4 2 6 4 3 2" xfId="14378" xr:uid="{32C86F32-583B-491C-BB4E-B18546C04BBE}"/>
    <cellStyle name="Normal 2 4 2 6 4 3 3" xfId="22818" xr:uid="{A8C35BC3-A95E-4E87-A181-5AE595F8291B}"/>
    <cellStyle name="Normal 2 4 2 6 4 4" xfId="10160" xr:uid="{50D4FE00-1F53-4DF8-AB8D-B81AB95301A2}"/>
    <cellStyle name="Normal 2 4 2 6 4 5" xfId="18601" xr:uid="{51BEDC3E-0E4F-47BA-B5BA-716CEB5C824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8FB1FABE-6534-4D7C-9D33-B0302912AAD7}"/>
    <cellStyle name="Normal 2 4 2 6 5 2 2 3" xfId="25376" xr:uid="{A5F27D9E-6023-41DA-89C8-C3910D211DB6}"/>
    <cellStyle name="Normal 2 4 2 6 5 2 3" xfId="12718" xr:uid="{5B855358-63D2-4388-9E27-6D19220F8116}"/>
    <cellStyle name="Normal 2 4 2 6 5 2 4" xfId="21159" xr:uid="{20433DCF-F60D-4528-973E-CA4E5713D40E}"/>
    <cellStyle name="Normal 2 4 2 6 5 3" xfId="6341" xr:uid="{00000000-0005-0000-0000-0000BE0F0000}"/>
    <cellStyle name="Normal 2 4 2 6 5 3 2" xfId="14791" xr:uid="{A1436AC4-A09C-4A37-A498-5A6D6B297707}"/>
    <cellStyle name="Normal 2 4 2 6 5 3 3" xfId="23231" xr:uid="{C15EABD8-1BCB-4B37-9EAF-842AD9DEB689}"/>
    <cellStyle name="Normal 2 4 2 6 5 4" xfId="10573" xr:uid="{E913C9E9-2E4D-4774-97BA-0BB0E2752B1C}"/>
    <cellStyle name="Normal 2 4 2 6 5 5" xfId="19014" xr:uid="{72FC75F5-4303-4C74-8A35-3ABCCA64BD93}"/>
    <cellStyle name="Normal 2 4 2 6 6" xfId="2471" xr:uid="{00000000-0005-0000-0000-0000BF0F0000}"/>
    <cellStyle name="Normal 2 4 2 6 6 2" xfId="6754" xr:uid="{00000000-0005-0000-0000-0000C00F0000}"/>
    <cellStyle name="Normal 2 4 2 6 6 2 2" xfId="15204" xr:uid="{22B94770-8B59-462B-AE20-F251994CB9AA}"/>
    <cellStyle name="Normal 2 4 2 6 6 2 3" xfId="23644" xr:uid="{D6EF1E99-8545-4D7F-B34D-19987298360D}"/>
    <cellStyle name="Normal 2 4 2 6 6 3" xfId="10986" xr:uid="{955F159F-4735-4B9D-B273-94574A409A34}"/>
    <cellStyle name="Normal 2 4 2 6 6 4" xfId="19427" xr:uid="{3EF0507B-FA41-4C01-89FB-3646D60B2AF5}"/>
    <cellStyle name="Normal 2 4 2 6 7" xfId="4688" xr:uid="{00000000-0005-0000-0000-0000C10F0000}"/>
    <cellStyle name="Normal 2 4 2 6 7 2" xfId="13138" xr:uid="{10F995EE-615B-4817-A758-F9D28620E79E}"/>
    <cellStyle name="Normal 2 4 2 6 7 3" xfId="21578" xr:uid="{49C18B3C-623F-4CD0-932A-216C6D1BB3C9}"/>
    <cellStyle name="Normal 2 4 2 6 8" xfId="8920" xr:uid="{F39E96C1-DC17-4D3A-9D3E-093998EF9775}"/>
    <cellStyle name="Normal 2 4 2 6 9" xfId="17361" xr:uid="{8E490AC8-0114-4894-B77A-9D2791072527}"/>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8DE4E9FA-4960-4DC3-865F-FCCF051627F7}"/>
    <cellStyle name="Normal 2 4 2 7 2 2 3" xfId="24122" xr:uid="{B27B1882-0FCA-43CF-8395-12ABD3C530CD}"/>
    <cellStyle name="Normal 2 4 2 7 2 3" xfId="11464" xr:uid="{43B804E1-226D-4BA6-BC2A-0A92BC67FDB3}"/>
    <cellStyle name="Normal 2 4 2 7 2 4" xfId="19905" xr:uid="{C8C0230A-3A4D-4EE8-9DEB-8D2AEC03840E}"/>
    <cellStyle name="Normal 2 4 2 7 3" xfId="5087" xr:uid="{00000000-0005-0000-0000-0000C50F0000}"/>
    <cellStyle name="Normal 2 4 2 7 3 2" xfId="13537" xr:uid="{0556AA8F-07C4-45CA-856D-14C544AFD33F}"/>
    <cellStyle name="Normal 2 4 2 7 3 3" xfId="21977" xr:uid="{09D86452-B436-468A-91E6-E6FD202DE162}"/>
    <cellStyle name="Normal 2 4 2 7 4" xfId="9319" xr:uid="{B388C625-36B2-49ED-A49A-2A6DE6251E1E}"/>
    <cellStyle name="Normal 2 4 2 7 5" xfId="17760" xr:uid="{DD36DF6E-6283-4355-999E-FA71C2C0A36F}"/>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72EA3A66-06EF-455C-95C0-213D7D5524B4}"/>
    <cellStyle name="Normal 2 4 2 8 2 2 3" xfId="24535" xr:uid="{BDA7AC77-AE72-49C0-8D92-C6EA510115E5}"/>
    <cellStyle name="Normal 2 4 2 8 2 3" xfId="11877" xr:uid="{32C4F147-3756-4F5C-804D-ED897D323202}"/>
    <cellStyle name="Normal 2 4 2 8 2 4" xfId="20318" xr:uid="{CE4F11CA-3317-4DEF-8635-989F80C0022B}"/>
    <cellStyle name="Normal 2 4 2 8 3" xfId="5500" xr:uid="{00000000-0005-0000-0000-0000C90F0000}"/>
    <cellStyle name="Normal 2 4 2 8 3 2" xfId="13950" xr:uid="{D09BA1F6-559E-41FC-9E26-95EDB0EEEC9B}"/>
    <cellStyle name="Normal 2 4 2 8 3 3" xfId="22390" xr:uid="{37B59F14-A051-45DC-A7BD-AB9E08C64867}"/>
    <cellStyle name="Normal 2 4 2 8 4" xfId="9732" xr:uid="{92094C0E-9F10-4E8A-9DF1-734A9FFD0F0D}"/>
    <cellStyle name="Normal 2 4 2 8 5" xfId="18173" xr:uid="{2B3E0DD6-52AE-4225-BB60-3EC3DA145EB3}"/>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0220E8DD-9E36-4C6F-BBC8-6DF2AEFE72E3}"/>
    <cellStyle name="Normal 2 4 2 9 2 2 3" xfId="24948" xr:uid="{8248D65A-C393-441B-8E34-8D6E51D37743}"/>
    <cellStyle name="Normal 2 4 2 9 2 3" xfId="12290" xr:uid="{8DA21A02-976E-4848-8E71-38BE3195083A}"/>
    <cellStyle name="Normal 2 4 2 9 2 4" xfId="20731" xr:uid="{D8ED27BA-AECD-4972-9AD5-95D14169BA02}"/>
    <cellStyle name="Normal 2 4 2 9 3" xfId="5913" xr:uid="{00000000-0005-0000-0000-0000CD0F0000}"/>
    <cellStyle name="Normal 2 4 2 9 3 2" xfId="14363" xr:uid="{E23EAED7-23C8-4DF1-B15B-8A22D4ADA900}"/>
    <cellStyle name="Normal 2 4 2 9 3 3" xfId="22803" xr:uid="{C947AB50-6070-4380-8B31-9CC0523C6E27}"/>
    <cellStyle name="Normal 2 4 2 9 4" xfId="10145" xr:uid="{D0A8A67D-301F-4D88-BB4A-AF11B12F599D}"/>
    <cellStyle name="Normal 2 4 2 9 5" xfId="18586" xr:uid="{4C7ADC35-8E44-4A0D-8424-CE0BA8A9ABD7}"/>
    <cellStyle name="Normal 2 4 3" xfId="296" xr:uid="{00000000-0005-0000-0000-0000CE0F0000}"/>
    <cellStyle name="Normal 2 4 3 10" xfId="8921" xr:uid="{1AFB278C-05B0-4E4F-AC56-040B67418D9C}"/>
    <cellStyle name="Normal 2 4 3 11" xfId="17362" xr:uid="{AC988484-B8A5-4C6E-9D66-EA005FF2A815}"/>
    <cellStyle name="Normal 2 4 3 2" xfId="297" xr:uid="{00000000-0005-0000-0000-0000CF0F0000}"/>
    <cellStyle name="Normal 2 4 3 3" xfId="298" xr:uid="{00000000-0005-0000-0000-0000D00F0000}"/>
    <cellStyle name="Normal 2 4 3 3 10" xfId="8922" xr:uid="{A81A837E-4F7B-48D4-BDB3-DD5205DF3687}"/>
    <cellStyle name="Normal 2 4 3 3 11" xfId="17363" xr:uid="{AB1FA4D9-797D-4251-85FE-FA2A1E6B2206}"/>
    <cellStyle name="Normal 2 4 3 3 2" xfId="299" xr:uid="{00000000-0005-0000-0000-0000D10F0000}"/>
    <cellStyle name="Normal 2 4 3 3 2 10" xfId="17364" xr:uid="{52C64BB7-B83C-4775-90C6-59909DE5C781}"/>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070D979F-2002-4E12-B1B2-B0C24504AD53}"/>
    <cellStyle name="Normal 2 4 3 3 2 2 2 2 2 3" xfId="24141" xr:uid="{D0DB1A01-6E5E-48AF-A37F-C121480F36C2}"/>
    <cellStyle name="Normal 2 4 3 3 2 2 2 2 3" xfId="11483" xr:uid="{408E4DE7-A3DC-4847-A892-5FA8601416A4}"/>
    <cellStyle name="Normal 2 4 3 3 2 2 2 2 4" xfId="19924" xr:uid="{8970FE64-DE3F-4F4C-9CEB-194B62AAB3F7}"/>
    <cellStyle name="Normal 2 4 3 3 2 2 2 3" xfId="5106" xr:uid="{00000000-0005-0000-0000-0000D60F0000}"/>
    <cellStyle name="Normal 2 4 3 3 2 2 2 3 2" xfId="13556" xr:uid="{DDD49F2D-C684-43B7-A34C-977876E20708}"/>
    <cellStyle name="Normal 2 4 3 3 2 2 2 3 3" xfId="21996" xr:uid="{59C22E6E-2B57-4C56-9D4D-99CD2993E61F}"/>
    <cellStyle name="Normal 2 4 3 3 2 2 2 4" xfId="9338" xr:uid="{1B189B8A-A092-4C8F-8CF5-E44EDE92C6E5}"/>
    <cellStyle name="Normal 2 4 3 3 2 2 2 5" xfId="17779" xr:uid="{F40DA79E-BB53-4336-AE4A-D7DB3ABB6064}"/>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E5B03247-0E4E-4DC0-95EB-AA11BA1F507C}"/>
    <cellStyle name="Normal 2 4 3 3 2 2 3 2 2 3" xfId="24554" xr:uid="{C55243DC-54FD-4A07-B6C5-D51626351C13}"/>
    <cellStyle name="Normal 2 4 3 3 2 2 3 2 3" xfId="11896" xr:uid="{D3E54FD4-A37C-4C96-880B-09F24818986D}"/>
    <cellStyle name="Normal 2 4 3 3 2 2 3 2 4" xfId="20337" xr:uid="{262C335B-3371-4F7D-9A22-14DDC69E3843}"/>
    <cellStyle name="Normal 2 4 3 3 2 2 3 3" xfId="5519" xr:uid="{00000000-0005-0000-0000-0000DA0F0000}"/>
    <cellStyle name="Normal 2 4 3 3 2 2 3 3 2" xfId="13969" xr:uid="{C6AFDDD3-A121-41EF-9D72-3B0EBCB4923F}"/>
    <cellStyle name="Normal 2 4 3 3 2 2 3 3 3" xfId="22409" xr:uid="{16E9AF40-C488-4609-9018-B56E2D5FBBE2}"/>
    <cellStyle name="Normal 2 4 3 3 2 2 3 4" xfId="9751" xr:uid="{C6B17B0C-BF64-401C-9B17-E8E4FBD926AC}"/>
    <cellStyle name="Normal 2 4 3 3 2 2 3 5" xfId="18192" xr:uid="{4C28EE96-F3B7-4A82-B1FF-0983B494FEF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779D9BDF-8442-40C3-9DF3-0C050064A6BB}"/>
    <cellStyle name="Normal 2 4 3 3 2 2 4 2 2 3" xfId="24967" xr:uid="{819579FC-6E38-4906-AA30-DA468E7050B5}"/>
    <cellStyle name="Normal 2 4 3 3 2 2 4 2 3" xfId="12309" xr:uid="{B9C12B4F-485F-4633-A030-ED4CB1EF7CFA}"/>
    <cellStyle name="Normal 2 4 3 3 2 2 4 2 4" xfId="20750" xr:uid="{DFB88526-857E-448A-9789-A91423792FEF}"/>
    <cellStyle name="Normal 2 4 3 3 2 2 4 3" xfId="5932" xr:uid="{00000000-0005-0000-0000-0000DE0F0000}"/>
    <cellStyle name="Normal 2 4 3 3 2 2 4 3 2" xfId="14382" xr:uid="{947DE115-0E82-438F-B0ED-83615A56CAE9}"/>
    <cellStyle name="Normal 2 4 3 3 2 2 4 3 3" xfId="22822" xr:uid="{C633A037-743E-4CF4-8D78-79AF9FB2BAD3}"/>
    <cellStyle name="Normal 2 4 3 3 2 2 4 4" xfId="10164" xr:uid="{D0B9E722-F049-44C6-A2F8-6DE054D2951E}"/>
    <cellStyle name="Normal 2 4 3 3 2 2 4 5" xfId="18605" xr:uid="{CAB5EDF5-D111-45E7-80AE-D7E2C8A2A09B}"/>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3A3EA0A9-AC1A-4CAC-B5C1-1ADE75329876}"/>
    <cellStyle name="Normal 2 4 3 3 2 2 5 2 2 3" xfId="25380" xr:uid="{CDB2D68B-B819-4B7A-BEC9-B275E97DE72A}"/>
    <cellStyle name="Normal 2 4 3 3 2 2 5 2 3" xfId="12722" xr:uid="{495FE6DB-B832-4475-82C5-4D9580361E42}"/>
    <cellStyle name="Normal 2 4 3 3 2 2 5 2 4" xfId="21163" xr:uid="{655CDE0C-2F72-4FFC-B6BE-EB17BFCA6189}"/>
    <cellStyle name="Normal 2 4 3 3 2 2 5 3" xfId="6345" xr:uid="{00000000-0005-0000-0000-0000E20F0000}"/>
    <cellStyle name="Normal 2 4 3 3 2 2 5 3 2" xfId="14795" xr:uid="{24251C7D-5870-498E-9A1E-3C999ABA913B}"/>
    <cellStyle name="Normal 2 4 3 3 2 2 5 3 3" xfId="23235" xr:uid="{A03FD88B-1A8E-4589-8A16-3E29DBCF555A}"/>
    <cellStyle name="Normal 2 4 3 3 2 2 5 4" xfId="10577" xr:uid="{78FCCDF7-44E6-4FE5-B7D9-99B0B9129991}"/>
    <cellStyle name="Normal 2 4 3 3 2 2 5 5" xfId="19018" xr:uid="{4CBB4D0D-9BE8-44FA-9345-B48F31C35F61}"/>
    <cellStyle name="Normal 2 4 3 3 2 2 6" xfId="2475" xr:uid="{00000000-0005-0000-0000-0000E30F0000}"/>
    <cellStyle name="Normal 2 4 3 3 2 2 6 2" xfId="6758" xr:uid="{00000000-0005-0000-0000-0000E40F0000}"/>
    <cellStyle name="Normal 2 4 3 3 2 2 6 2 2" xfId="15208" xr:uid="{D139AF85-0037-495D-AD9F-D2C3A12939BA}"/>
    <cellStyle name="Normal 2 4 3 3 2 2 6 2 3" xfId="23648" xr:uid="{6A663E59-2E0D-4F59-B4F1-3F101BFE6247}"/>
    <cellStyle name="Normal 2 4 3 3 2 2 6 3" xfId="10990" xr:uid="{5DFE2A93-2B4D-4B95-9CFD-5412135051EB}"/>
    <cellStyle name="Normal 2 4 3 3 2 2 6 4" xfId="19431" xr:uid="{EDB8C801-EA69-4A03-924F-0E52EEA11BCE}"/>
    <cellStyle name="Normal 2 4 3 3 2 2 7" xfId="4692" xr:uid="{00000000-0005-0000-0000-0000E50F0000}"/>
    <cellStyle name="Normal 2 4 3 3 2 2 7 2" xfId="13142" xr:uid="{9ADA63B3-1C61-445E-B6B3-C05D5354F858}"/>
    <cellStyle name="Normal 2 4 3 3 2 2 7 3" xfId="21582" xr:uid="{E22F54F6-3B49-480D-86E1-4A0AA8904B63}"/>
    <cellStyle name="Normal 2 4 3 3 2 2 8" xfId="8924" xr:uid="{B20BB06C-6067-454B-B80D-B98DAA3B349F}"/>
    <cellStyle name="Normal 2 4 3 3 2 2 9" xfId="17365" xr:uid="{1B4402FF-7E78-4654-9003-9778CC5EFE6D}"/>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95A7EF38-6411-4B62-A9C3-DBC749B7757B}"/>
    <cellStyle name="Normal 2 4 3 3 2 3 2 2 3" xfId="24140" xr:uid="{9EF51AEE-79AA-466E-BEAF-4410BF71BC1D}"/>
    <cellStyle name="Normal 2 4 3 3 2 3 2 3" xfId="11482" xr:uid="{2C11A215-DDB5-4313-91FE-78713170ABBD}"/>
    <cellStyle name="Normal 2 4 3 3 2 3 2 4" xfId="19923" xr:uid="{6BC5D0E6-17A3-4CB2-A842-2E4C478423D3}"/>
    <cellStyle name="Normal 2 4 3 3 2 3 3" xfId="5105" xr:uid="{00000000-0005-0000-0000-0000E90F0000}"/>
    <cellStyle name="Normal 2 4 3 3 2 3 3 2" xfId="13555" xr:uid="{9BD51FEB-299D-4E77-B23A-7160B3F301EF}"/>
    <cellStyle name="Normal 2 4 3 3 2 3 3 3" xfId="21995" xr:uid="{9852AA4F-5ED0-4755-B4D5-AC4DFC6016A8}"/>
    <cellStyle name="Normal 2 4 3 3 2 3 4" xfId="9337" xr:uid="{97C0C846-34D6-4B29-A983-ED79F4EECDA0}"/>
    <cellStyle name="Normal 2 4 3 3 2 3 5" xfId="17778" xr:uid="{F41A78CF-0ADF-40A3-A0C9-80CB69447F5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10D4A87E-CD03-4564-8829-C2D70AE634FD}"/>
    <cellStyle name="Normal 2 4 3 3 2 4 2 2 3" xfId="24553" xr:uid="{D5E8F641-536E-4F8D-80D1-8BC0B152207C}"/>
    <cellStyle name="Normal 2 4 3 3 2 4 2 3" xfId="11895" xr:uid="{68487E9F-A5EC-49F2-B056-59AC6FCF502A}"/>
    <cellStyle name="Normal 2 4 3 3 2 4 2 4" xfId="20336" xr:uid="{448E4150-E653-450F-A642-4325B163F5BA}"/>
    <cellStyle name="Normal 2 4 3 3 2 4 3" xfId="5518" xr:uid="{00000000-0005-0000-0000-0000ED0F0000}"/>
    <cellStyle name="Normal 2 4 3 3 2 4 3 2" xfId="13968" xr:uid="{41E30CEA-882A-464B-9B43-774DD7A376F8}"/>
    <cellStyle name="Normal 2 4 3 3 2 4 3 3" xfId="22408" xr:uid="{CC07C5D0-5892-411E-B02B-6D116904CB38}"/>
    <cellStyle name="Normal 2 4 3 3 2 4 4" xfId="9750" xr:uid="{4305EF2B-0021-4C12-8632-5697FBB156FA}"/>
    <cellStyle name="Normal 2 4 3 3 2 4 5" xfId="18191" xr:uid="{33C0F32A-7E28-4CE1-9B17-2C15BB83B73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840E69F8-CE30-4A6D-9882-E9CFCF14C3A5}"/>
    <cellStyle name="Normal 2 4 3 3 2 5 2 2 3" xfId="24966" xr:uid="{4B69F28B-EC3E-4CFA-9EA7-00E3EC8943B3}"/>
    <cellStyle name="Normal 2 4 3 3 2 5 2 3" xfId="12308" xr:uid="{85C93482-5B60-4324-ADF9-BF42ECF645A5}"/>
    <cellStyle name="Normal 2 4 3 3 2 5 2 4" xfId="20749" xr:uid="{76FBD046-6BCB-46C6-9F4C-7522EB4106C6}"/>
    <cellStyle name="Normal 2 4 3 3 2 5 3" xfId="5931" xr:uid="{00000000-0005-0000-0000-0000F10F0000}"/>
    <cellStyle name="Normal 2 4 3 3 2 5 3 2" xfId="14381" xr:uid="{62D6EB5B-9A96-4E4E-A398-3C54E7B8DE1B}"/>
    <cellStyle name="Normal 2 4 3 3 2 5 3 3" xfId="22821" xr:uid="{508DA064-CF2F-44A0-9673-736BDF4DEF2A}"/>
    <cellStyle name="Normal 2 4 3 3 2 5 4" xfId="10163" xr:uid="{D7E997E3-1324-4EB0-A8CD-23AE004B43D6}"/>
    <cellStyle name="Normal 2 4 3 3 2 5 5" xfId="18604" xr:uid="{18BD85EB-8EFC-4121-A1A5-6CD0DFFFE367}"/>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77A1A046-8F1E-4F62-95F2-56580F495FC9}"/>
    <cellStyle name="Normal 2 4 3 3 2 6 2 2 3" xfId="25379" xr:uid="{8E661EB4-73AE-4039-A01F-A25126467730}"/>
    <cellStyle name="Normal 2 4 3 3 2 6 2 3" xfId="12721" xr:uid="{442C69DB-F550-4BCC-8860-430AA82985F0}"/>
    <cellStyle name="Normal 2 4 3 3 2 6 2 4" xfId="21162" xr:uid="{833A0DF7-0FA7-43C6-9B24-C02BDFF50825}"/>
    <cellStyle name="Normal 2 4 3 3 2 6 3" xfId="6344" xr:uid="{00000000-0005-0000-0000-0000F50F0000}"/>
    <cellStyle name="Normal 2 4 3 3 2 6 3 2" xfId="14794" xr:uid="{6C749AE1-292F-465B-AE23-DBFAA314F5A6}"/>
    <cellStyle name="Normal 2 4 3 3 2 6 3 3" xfId="23234" xr:uid="{9537635D-F197-4AFA-B3E2-68C4C37DA9F7}"/>
    <cellStyle name="Normal 2 4 3 3 2 6 4" xfId="10576" xr:uid="{5141D50B-2EFD-44EF-ABA4-0B1AF5213430}"/>
    <cellStyle name="Normal 2 4 3 3 2 6 5" xfId="19017" xr:uid="{1DCAC416-FFC1-42DA-B8DA-F994CDD967C2}"/>
    <cellStyle name="Normal 2 4 3 3 2 7" xfId="2474" xr:uid="{00000000-0005-0000-0000-0000F60F0000}"/>
    <cellStyle name="Normal 2 4 3 3 2 7 2" xfId="6757" xr:uid="{00000000-0005-0000-0000-0000F70F0000}"/>
    <cellStyle name="Normal 2 4 3 3 2 7 2 2" xfId="15207" xr:uid="{44C41305-25CE-449D-8CA5-48C8E8B47E0E}"/>
    <cellStyle name="Normal 2 4 3 3 2 7 2 3" xfId="23647" xr:uid="{C7229DE3-7521-4686-AD88-2869B687E542}"/>
    <cellStyle name="Normal 2 4 3 3 2 7 3" xfId="10989" xr:uid="{98ACEFCE-D613-49CB-BC18-ACC810D79100}"/>
    <cellStyle name="Normal 2 4 3 3 2 7 4" xfId="19430" xr:uid="{1D78C347-98C6-44F4-8FB2-5F144B95EF27}"/>
    <cellStyle name="Normal 2 4 3 3 2 8" xfId="4691" xr:uid="{00000000-0005-0000-0000-0000F80F0000}"/>
    <cellStyle name="Normal 2 4 3 3 2 8 2" xfId="13141" xr:uid="{38713040-B6A4-4250-9CF5-E34EF97F18C5}"/>
    <cellStyle name="Normal 2 4 3 3 2 8 3" xfId="21581" xr:uid="{999E5D9A-9EAC-490E-BDF6-5E20CE1915AE}"/>
    <cellStyle name="Normal 2 4 3 3 2 9" xfId="8923" xr:uid="{6C9F4790-7ABB-408B-9311-FBD0F8FFF34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B7C6705A-001B-40B0-BABD-046E8477C612}"/>
    <cellStyle name="Normal 2 4 3 3 3 2 2 2 3" xfId="24142" xr:uid="{CDB95213-0413-4214-832E-209ACDB50480}"/>
    <cellStyle name="Normal 2 4 3 3 3 2 2 3" xfId="11484" xr:uid="{611CAE79-21C1-4347-A80A-31F1EE3793E3}"/>
    <cellStyle name="Normal 2 4 3 3 3 2 2 4" xfId="19925" xr:uid="{79607391-D9C4-4E64-B45A-4BF289D6ABAA}"/>
    <cellStyle name="Normal 2 4 3 3 3 2 3" xfId="5107" xr:uid="{00000000-0005-0000-0000-0000FD0F0000}"/>
    <cellStyle name="Normal 2 4 3 3 3 2 3 2" xfId="13557" xr:uid="{D3DC9372-1E29-4CF9-8960-EC8E279E3496}"/>
    <cellStyle name="Normal 2 4 3 3 3 2 3 3" xfId="21997" xr:uid="{3E5731FD-3EDB-4B45-A610-F3A1F6C78A6E}"/>
    <cellStyle name="Normal 2 4 3 3 3 2 4" xfId="9339" xr:uid="{353D17B8-53E8-4A11-AEF0-3C4C74915313}"/>
    <cellStyle name="Normal 2 4 3 3 3 2 5" xfId="17780" xr:uid="{0A07D48B-F7CF-473A-9A89-2C3B3DB9C618}"/>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8686CA0C-A56F-4D6D-B440-64E0C46336BF}"/>
    <cellStyle name="Normal 2 4 3 3 3 3 2 2 3" xfId="24555" xr:uid="{BBE080E2-0337-421C-836E-FDB56DFC07B2}"/>
    <cellStyle name="Normal 2 4 3 3 3 3 2 3" xfId="11897" xr:uid="{3F6193AA-259E-4409-82B0-5F9649F552B7}"/>
    <cellStyle name="Normal 2 4 3 3 3 3 2 4" xfId="20338" xr:uid="{64341688-00C8-439B-9F56-B26006E180A8}"/>
    <cellStyle name="Normal 2 4 3 3 3 3 3" xfId="5520" xr:uid="{00000000-0005-0000-0000-000001100000}"/>
    <cellStyle name="Normal 2 4 3 3 3 3 3 2" xfId="13970" xr:uid="{A19EF402-D66E-4863-8990-D1BEF7904E83}"/>
    <cellStyle name="Normal 2 4 3 3 3 3 3 3" xfId="22410" xr:uid="{456950EA-3A38-4625-AA7C-31A79C94335E}"/>
    <cellStyle name="Normal 2 4 3 3 3 3 4" xfId="9752" xr:uid="{7E641566-0E97-411C-8B07-3EC61AF4D965}"/>
    <cellStyle name="Normal 2 4 3 3 3 3 5" xfId="18193" xr:uid="{A2AB6D31-A7A3-49B2-9429-FC614ED8046B}"/>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ED6F1337-14F3-40B1-B5F3-D917AEE55BFE}"/>
    <cellStyle name="Normal 2 4 3 3 3 4 2 2 3" xfId="24968" xr:uid="{E95546CD-FB1A-4FE6-8962-A06D22B04CCE}"/>
    <cellStyle name="Normal 2 4 3 3 3 4 2 3" xfId="12310" xr:uid="{92F734E9-0EBF-4CD6-93C3-1FC91A6EB11D}"/>
    <cellStyle name="Normal 2 4 3 3 3 4 2 4" xfId="20751" xr:uid="{F05AAC32-7680-417E-AEAE-590B1DA40882}"/>
    <cellStyle name="Normal 2 4 3 3 3 4 3" xfId="5933" xr:uid="{00000000-0005-0000-0000-000005100000}"/>
    <cellStyle name="Normal 2 4 3 3 3 4 3 2" xfId="14383" xr:uid="{CAF3A706-5284-4C1F-81AE-37197D0B3FF7}"/>
    <cellStyle name="Normal 2 4 3 3 3 4 3 3" xfId="22823" xr:uid="{3AA3CB59-4BC2-4EEF-B626-F601CA080EE4}"/>
    <cellStyle name="Normal 2 4 3 3 3 4 4" xfId="10165" xr:uid="{CA16E61A-DF6D-4A1A-BBBD-7F0DD9D00BD8}"/>
    <cellStyle name="Normal 2 4 3 3 3 4 5" xfId="18606" xr:uid="{27A730F9-F9E6-4813-9458-D3FEFA38C4BC}"/>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46B3B367-45DB-46A1-ABA5-DBDB52F563F2}"/>
    <cellStyle name="Normal 2 4 3 3 3 5 2 2 3" xfId="25381" xr:uid="{A89FD3F7-0690-479A-8F7E-CFB1C2CBDC79}"/>
    <cellStyle name="Normal 2 4 3 3 3 5 2 3" xfId="12723" xr:uid="{BB147D79-2696-434A-8A4F-E2A7ECFF0B7E}"/>
    <cellStyle name="Normal 2 4 3 3 3 5 2 4" xfId="21164" xr:uid="{70862FE6-6252-48BB-87C6-3C70B11506A0}"/>
    <cellStyle name="Normal 2 4 3 3 3 5 3" xfId="6346" xr:uid="{00000000-0005-0000-0000-000009100000}"/>
    <cellStyle name="Normal 2 4 3 3 3 5 3 2" xfId="14796" xr:uid="{EAD880E2-2A54-419E-B695-148E6FAF8A01}"/>
    <cellStyle name="Normal 2 4 3 3 3 5 3 3" xfId="23236" xr:uid="{9F933321-09CF-41A4-BD7B-ECA6D8372607}"/>
    <cellStyle name="Normal 2 4 3 3 3 5 4" xfId="10578" xr:uid="{C20A2546-B5C1-4A09-84A2-CFC9333C4545}"/>
    <cellStyle name="Normal 2 4 3 3 3 5 5" xfId="19019" xr:uid="{C6BFAFBA-AE34-42CA-BCE2-22EAE7C44996}"/>
    <cellStyle name="Normal 2 4 3 3 3 6" xfId="2476" xr:uid="{00000000-0005-0000-0000-00000A100000}"/>
    <cellStyle name="Normal 2 4 3 3 3 6 2" xfId="6759" xr:uid="{00000000-0005-0000-0000-00000B100000}"/>
    <cellStyle name="Normal 2 4 3 3 3 6 2 2" xfId="15209" xr:uid="{46A67F6A-EA0D-4286-9080-E595864356BE}"/>
    <cellStyle name="Normal 2 4 3 3 3 6 2 3" xfId="23649" xr:uid="{D8DA3CE7-D3AF-4C25-A6BC-816C69BEFCCA}"/>
    <cellStyle name="Normal 2 4 3 3 3 6 3" xfId="10991" xr:uid="{08E0C2CA-95A7-4A7E-BF34-BBE728C8EF4F}"/>
    <cellStyle name="Normal 2 4 3 3 3 6 4" xfId="19432" xr:uid="{003E59E8-6904-4CBB-816C-8C912BA47AAE}"/>
    <cellStyle name="Normal 2 4 3 3 3 7" xfId="4693" xr:uid="{00000000-0005-0000-0000-00000C100000}"/>
    <cellStyle name="Normal 2 4 3 3 3 7 2" xfId="13143" xr:uid="{E2EA66F2-0DE9-4C67-952F-9DA6F9E225BB}"/>
    <cellStyle name="Normal 2 4 3 3 3 7 3" xfId="21583" xr:uid="{1454442C-785F-435E-AFFD-183B1B333818}"/>
    <cellStyle name="Normal 2 4 3 3 3 8" xfId="8925" xr:uid="{EE4964F2-C6E0-402C-A59D-9F82045D7A1C}"/>
    <cellStyle name="Normal 2 4 3 3 3 9" xfId="17366" xr:uid="{9AF2725F-3EF0-4DAB-90A7-9382ACE98926}"/>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55DAC583-FCEA-4850-AC6A-3AA9511C5975}"/>
    <cellStyle name="Normal 2 4 3 3 4 2 2 3" xfId="24139" xr:uid="{364AAF6D-C551-454A-A2FD-615043DF4302}"/>
    <cellStyle name="Normal 2 4 3 3 4 2 3" xfId="11481" xr:uid="{26F86139-26C0-4157-9167-AE26625A41A1}"/>
    <cellStyle name="Normal 2 4 3 3 4 2 4" xfId="19922" xr:uid="{4F7AD9DF-72F8-476C-B11F-81B685361273}"/>
    <cellStyle name="Normal 2 4 3 3 4 3" xfId="5104" xr:uid="{00000000-0005-0000-0000-000010100000}"/>
    <cellStyle name="Normal 2 4 3 3 4 3 2" xfId="13554" xr:uid="{A895900C-969F-4470-AE83-9B06AD2CDEEB}"/>
    <cellStyle name="Normal 2 4 3 3 4 3 3" xfId="21994" xr:uid="{077E3967-6C72-407D-A9C0-E42465CC47D8}"/>
    <cellStyle name="Normal 2 4 3 3 4 4" xfId="9336" xr:uid="{D1020496-5F3F-4A4E-8404-4ECBBE7143CC}"/>
    <cellStyle name="Normal 2 4 3 3 4 5" xfId="17777" xr:uid="{83C8C23F-72E1-4901-9F9C-C24E3100177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DAEAD7DF-C56D-4B36-B3DD-7B910587DFC0}"/>
    <cellStyle name="Normal 2 4 3 3 5 2 2 3" xfId="24552" xr:uid="{F030C92D-5FA9-4BE4-A8F4-F8E0C0D4191E}"/>
    <cellStyle name="Normal 2 4 3 3 5 2 3" xfId="11894" xr:uid="{A6710633-B236-4989-BDC4-70B922906895}"/>
    <cellStyle name="Normal 2 4 3 3 5 2 4" xfId="20335" xr:uid="{97F0AD32-E764-441C-8089-4CAE0F9D79D9}"/>
    <cellStyle name="Normal 2 4 3 3 5 3" xfId="5517" xr:uid="{00000000-0005-0000-0000-000014100000}"/>
    <cellStyle name="Normal 2 4 3 3 5 3 2" xfId="13967" xr:uid="{9292EA75-DD4D-47A8-B311-BB61F9DC3330}"/>
    <cellStyle name="Normal 2 4 3 3 5 3 3" xfId="22407" xr:uid="{A9617418-2DE9-4C27-840C-348D36EDC4D4}"/>
    <cellStyle name="Normal 2 4 3 3 5 4" xfId="9749" xr:uid="{58663E47-B1FC-42F3-A862-286B8F350023}"/>
    <cellStyle name="Normal 2 4 3 3 5 5" xfId="18190" xr:uid="{4FFBE190-B74E-497A-B08B-7790F364CB6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2561ACA5-E97A-41CA-85EC-3F2CD6A83CB8}"/>
    <cellStyle name="Normal 2 4 3 3 6 2 2 3" xfId="24965" xr:uid="{EAE9FD2A-32DC-4126-A647-AF9E8A7227CD}"/>
    <cellStyle name="Normal 2 4 3 3 6 2 3" xfId="12307" xr:uid="{64DD4AB5-E8F7-45FC-B413-857C9130B5BA}"/>
    <cellStyle name="Normal 2 4 3 3 6 2 4" xfId="20748" xr:uid="{FD398647-D4F0-4E2A-A587-6847751DDAF9}"/>
    <cellStyle name="Normal 2 4 3 3 6 3" xfId="5930" xr:uid="{00000000-0005-0000-0000-000018100000}"/>
    <cellStyle name="Normal 2 4 3 3 6 3 2" xfId="14380" xr:uid="{19D46047-7C14-41E1-8813-9D34CFC9EE9D}"/>
    <cellStyle name="Normal 2 4 3 3 6 3 3" xfId="22820" xr:uid="{B07915AE-A500-4398-A876-486E97CBEC9C}"/>
    <cellStyle name="Normal 2 4 3 3 6 4" xfId="10162" xr:uid="{051DDEB2-ED0E-42B2-8B9A-E543E06C1412}"/>
    <cellStyle name="Normal 2 4 3 3 6 5" xfId="18603" xr:uid="{39B5C112-E4C1-4137-8143-19B933224E6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5C32DAEF-DF53-4AE0-BCFE-6C269FA533EF}"/>
    <cellStyle name="Normal 2 4 3 3 7 2 2 3" xfId="25378" xr:uid="{17C65F88-24FF-4A0E-A418-46AE2BFF3262}"/>
    <cellStyle name="Normal 2 4 3 3 7 2 3" xfId="12720" xr:uid="{A44FA50E-8366-4EE8-8828-BEE08823ECF5}"/>
    <cellStyle name="Normal 2 4 3 3 7 2 4" xfId="21161" xr:uid="{40933E06-3931-4154-A25C-7BA152CC8636}"/>
    <cellStyle name="Normal 2 4 3 3 7 3" xfId="6343" xr:uid="{00000000-0005-0000-0000-00001C100000}"/>
    <cellStyle name="Normal 2 4 3 3 7 3 2" xfId="14793" xr:uid="{6B270430-7D76-48F2-98CB-E41C12553C00}"/>
    <cellStyle name="Normal 2 4 3 3 7 3 3" xfId="23233" xr:uid="{30800BC2-7BEE-4A98-861B-E39D5CEC3EC3}"/>
    <cellStyle name="Normal 2 4 3 3 7 4" xfId="10575" xr:uid="{85AD42F5-FB77-43F8-8042-26990E64F7B7}"/>
    <cellStyle name="Normal 2 4 3 3 7 5" xfId="19016" xr:uid="{C2B79B03-2C9D-44A1-BFC0-3ED425AC375A}"/>
    <cellStyle name="Normal 2 4 3 3 8" xfId="2473" xr:uid="{00000000-0005-0000-0000-00001D100000}"/>
    <cellStyle name="Normal 2 4 3 3 8 2" xfId="6756" xr:uid="{00000000-0005-0000-0000-00001E100000}"/>
    <cellStyle name="Normal 2 4 3 3 8 2 2" xfId="15206" xr:uid="{C1979821-B169-4134-9784-B51140B8B0ED}"/>
    <cellStyle name="Normal 2 4 3 3 8 2 3" xfId="23646" xr:uid="{7095625A-064D-478A-A62B-E5E1E551DA63}"/>
    <cellStyle name="Normal 2 4 3 3 8 3" xfId="10988" xr:uid="{2EA5C6E6-5151-47DA-9CCB-87FCFDB64672}"/>
    <cellStyle name="Normal 2 4 3 3 8 4" xfId="19429" xr:uid="{7E1F8CC3-600C-44CF-9E3F-CA10BA363932}"/>
    <cellStyle name="Normal 2 4 3 3 9" xfId="4690" xr:uid="{00000000-0005-0000-0000-00001F100000}"/>
    <cellStyle name="Normal 2 4 3 3 9 2" xfId="13140" xr:uid="{F8E0824E-79AC-48D7-A4A7-F2BA4242FA1B}"/>
    <cellStyle name="Normal 2 4 3 3 9 3" xfId="21580" xr:uid="{F3988AA8-C43D-492F-85BE-253E8AF20C9F}"/>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1D019372-B31C-4957-9580-E06829C91C33}"/>
    <cellStyle name="Normal 2 4 3 4 2 2 3" xfId="24138" xr:uid="{82806356-74CD-4807-B584-6590DC108777}"/>
    <cellStyle name="Normal 2 4 3 4 2 3" xfId="11480" xr:uid="{E327F77E-DCFB-4980-9752-279CE323741C}"/>
    <cellStyle name="Normal 2 4 3 4 2 4" xfId="19921" xr:uid="{F7503133-4260-489C-9AB7-93104CA5DE8C}"/>
    <cellStyle name="Normal 2 4 3 4 3" xfId="5103" xr:uid="{00000000-0005-0000-0000-000023100000}"/>
    <cellStyle name="Normal 2 4 3 4 3 2" xfId="13553" xr:uid="{FA9A63E5-0379-4E3E-BB84-FDE85232851E}"/>
    <cellStyle name="Normal 2 4 3 4 3 3" xfId="21993" xr:uid="{BD14054D-AD70-404B-9758-93B4BFB04C2D}"/>
    <cellStyle name="Normal 2 4 3 4 4" xfId="9335" xr:uid="{89C44288-0C31-4F25-AD2B-CF9DA956F4B4}"/>
    <cellStyle name="Normal 2 4 3 4 5" xfId="17776" xr:uid="{D640100A-9C62-42B5-AEAC-C0F375F23092}"/>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07897B3A-EDE1-4D4E-8AFC-FE341E109B3E}"/>
    <cellStyle name="Normal 2 4 3 5 2 2 3" xfId="24551" xr:uid="{129A783B-C7F8-40A8-B8D4-F11BD25C1D9B}"/>
    <cellStyle name="Normal 2 4 3 5 2 3" xfId="11893" xr:uid="{844A34C9-90B6-49E4-8643-86F3CFE8D911}"/>
    <cellStyle name="Normal 2 4 3 5 2 4" xfId="20334" xr:uid="{A5EA7E27-BF42-4A3D-99D9-31F5CC535BDE}"/>
    <cellStyle name="Normal 2 4 3 5 3" xfId="5516" xr:uid="{00000000-0005-0000-0000-000027100000}"/>
    <cellStyle name="Normal 2 4 3 5 3 2" xfId="13966" xr:uid="{61CBE020-7850-4548-BA60-C36A7A85103D}"/>
    <cellStyle name="Normal 2 4 3 5 3 3" xfId="22406" xr:uid="{2784B58C-77C6-413D-BF72-42EA18A89804}"/>
    <cellStyle name="Normal 2 4 3 5 4" xfId="9748" xr:uid="{1613C015-C4EE-484C-A6EE-5A16A8F382E3}"/>
    <cellStyle name="Normal 2 4 3 5 5" xfId="18189" xr:uid="{80F5FE4E-1592-4088-B74A-875FA1ECA449}"/>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32841022-D37E-492A-80B9-845CA8ED306C}"/>
    <cellStyle name="Normal 2 4 3 6 2 2 3" xfId="24964" xr:uid="{F8C66FDF-0190-47C0-B327-E1407F0D078B}"/>
    <cellStyle name="Normal 2 4 3 6 2 3" xfId="12306" xr:uid="{FC5F088E-1ABC-4A68-80F5-4B935A0B290D}"/>
    <cellStyle name="Normal 2 4 3 6 2 4" xfId="20747" xr:uid="{02CD2E63-D5B0-44BD-93BF-907C35599118}"/>
    <cellStyle name="Normal 2 4 3 6 3" xfId="5929" xr:uid="{00000000-0005-0000-0000-00002B100000}"/>
    <cellStyle name="Normal 2 4 3 6 3 2" xfId="14379" xr:uid="{26565EFA-7B1C-40F1-A045-0F34B068824C}"/>
    <cellStyle name="Normal 2 4 3 6 3 3" xfId="22819" xr:uid="{382C00C0-D3E8-4A85-A2D6-C4F28C986382}"/>
    <cellStyle name="Normal 2 4 3 6 4" xfId="10161" xr:uid="{62C5D35C-EA41-491E-8125-88848A99642A}"/>
    <cellStyle name="Normal 2 4 3 6 5" xfId="18602" xr:uid="{76FCE6DD-E326-4B0B-8159-4262DFB0E770}"/>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F77C102B-14B8-40E7-AA65-BFBD285AB694}"/>
    <cellStyle name="Normal 2 4 3 7 2 2 3" xfId="25377" xr:uid="{B2106EEA-F9C8-449C-96C3-5669E209FF9E}"/>
    <cellStyle name="Normal 2 4 3 7 2 3" xfId="12719" xr:uid="{F0A63B57-A737-4224-8C22-752480AB1DD6}"/>
    <cellStyle name="Normal 2 4 3 7 2 4" xfId="21160" xr:uid="{68F33C74-BB0A-4CC7-9187-3B6B6155F91D}"/>
    <cellStyle name="Normal 2 4 3 7 3" xfId="6342" xr:uid="{00000000-0005-0000-0000-00002F100000}"/>
    <cellStyle name="Normal 2 4 3 7 3 2" xfId="14792" xr:uid="{0792C54D-6ACE-4E51-880C-ABFCED647663}"/>
    <cellStyle name="Normal 2 4 3 7 3 3" xfId="23232" xr:uid="{43ACA416-B68E-49B0-A400-F16C5E588485}"/>
    <cellStyle name="Normal 2 4 3 7 4" xfId="10574" xr:uid="{960C5A19-31C9-4740-937A-3C9F72C8C34B}"/>
    <cellStyle name="Normal 2 4 3 7 5" xfId="19015" xr:uid="{9CEDD648-1309-4F12-AE86-E246BE3F07DD}"/>
    <cellStyle name="Normal 2 4 3 8" xfId="2472" xr:uid="{00000000-0005-0000-0000-000030100000}"/>
    <cellStyle name="Normal 2 4 3 8 2" xfId="6755" xr:uid="{00000000-0005-0000-0000-000031100000}"/>
    <cellStyle name="Normal 2 4 3 8 2 2" xfId="15205" xr:uid="{9367FA19-ACDB-4F28-B666-364E107E5927}"/>
    <cellStyle name="Normal 2 4 3 8 2 3" xfId="23645" xr:uid="{A7FB1ACF-D926-4E0D-B771-9820B4C9137E}"/>
    <cellStyle name="Normal 2 4 3 8 3" xfId="10987" xr:uid="{6C398B3E-543F-4D49-8881-57E01D7BDD16}"/>
    <cellStyle name="Normal 2 4 3 8 4" xfId="19428" xr:uid="{FA1330AB-2782-4408-9458-417F1FED0886}"/>
    <cellStyle name="Normal 2 4 3 9" xfId="4689" xr:uid="{00000000-0005-0000-0000-000032100000}"/>
    <cellStyle name="Normal 2 4 3 9 2" xfId="13139" xr:uid="{8FA3A74B-AC03-4262-AC31-E4AD9EB01F9A}"/>
    <cellStyle name="Normal 2 4 3 9 3" xfId="21579" xr:uid="{EE027C17-7B5D-47CD-8346-4070F102AEA0}"/>
    <cellStyle name="Normal 2 4 4" xfId="302" xr:uid="{00000000-0005-0000-0000-000033100000}"/>
    <cellStyle name="Normal 2 4 5" xfId="303" xr:uid="{00000000-0005-0000-0000-000034100000}"/>
    <cellStyle name="Normal 2 4 5 10" xfId="4694" xr:uid="{00000000-0005-0000-0000-000035100000}"/>
    <cellStyle name="Normal 2 4 5 10 2" xfId="13144" xr:uid="{D0ADBE41-4555-4F46-A7D5-5929B5BC9D44}"/>
    <cellStyle name="Normal 2 4 5 10 3" xfId="21584" xr:uid="{3077693C-1B64-4111-A34F-7466E684497E}"/>
    <cellStyle name="Normal 2 4 5 11" xfId="8926" xr:uid="{0EFFCFF6-AEA8-4447-B359-F1FA40821A39}"/>
    <cellStyle name="Normal 2 4 5 12" xfId="17367" xr:uid="{3DBF460D-FD31-4F5B-9DF4-6FE027DA3B29}"/>
    <cellStyle name="Normal 2 4 5 2" xfId="304" xr:uid="{00000000-0005-0000-0000-000036100000}"/>
    <cellStyle name="Normal 2 4 5 2 10" xfId="8927" xr:uid="{F9076CFE-073F-4B12-A7BF-DE0D0A14D29C}"/>
    <cellStyle name="Normal 2 4 5 2 11" xfId="17368" xr:uid="{7986E52B-C412-4043-AD11-7EF98DCFC09E}"/>
    <cellStyle name="Normal 2 4 5 2 2" xfId="305" xr:uid="{00000000-0005-0000-0000-000037100000}"/>
    <cellStyle name="Normal 2 4 5 2 2 10" xfId="17369" xr:uid="{F02C3E85-2FB8-4DD5-BCE3-5244092AB4E5}"/>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C72A36A9-C8BB-410D-BF9F-DD0DB12CA202}"/>
    <cellStyle name="Normal 2 4 5 2 2 2 2 2 2 3" xfId="24146" xr:uid="{16A991F0-3C1A-4AE4-93D0-020BF1711C10}"/>
    <cellStyle name="Normal 2 4 5 2 2 2 2 2 3" xfId="11488" xr:uid="{B3056DD9-1911-4EE2-B430-39F1267F0443}"/>
    <cellStyle name="Normal 2 4 5 2 2 2 2 2 4" xfId="19929" xr:uid="{7E8433A7-53B9-4CDE-B331-6C5287B6C802}"/>
    <cellStyle name="Normal 2 4 5 2 2 2 2 3" xfId="5111" xr:uid="{00000000-0005-0000-0000-00003C100000}"/>
    <cellStyle name="Normal 2 4 5 2 2 2 2 3 2" xfId="13561" xr:uid="{93076BD7-FBB3-482C-87EE-52FEB150CDCA}"/>
    <cellStyle name="Normal 2 4 5 2 2 2 2 3 3" xfId="22001" xr:uid="{96E5BDAA-0B88-4E71-B889-5049E6802054}"/>
    <cellStyle name="Normal 2 4 5 2 2 2 2 4" xfId="9343" xr:uid="{50FA4F82-CB7A-4AEF-AC75-3C5BD3DCB5E3}"/>
    <cellStyle name="Normal 2 4 5 2 2 2 2 5" xfId="17784" xr:uid="{19CA7BD3-0E3B-486C-A3AE-9A5E466EAC2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D8BD5CC2-F771-4593-9E37-DD2A6A67E26B}"/>
    <cellStyle name="Normal 2 4 5 2 2 2 3 2 2 3" xfId="24559" xr:uid="{8F8C4B7C-9254-4655-A190-493B50D8D3B3}"/>
    <cellStyle name="Normal 2 4 5 2 2 2 3 2 3" xfId="11901" xr:uid="{0D209283-6ED4-4773-B82B-EDE684AEB4F4}"/>
    <cellStyle name="Normal 2 4 5 2 2 2 3 2 4" xfId="20342" xr:uid="{4E2B7584-0991-430D-828F-2B95EEBDAD00}"/>
    <cellStyle name="Normal 2 4 5 2 2 2 3 3" xfId="5524" xr:uid="{00000000-0005-0000-0000-000040100000}"/>
    <cellStyle name="Normal 2 4 5 2 2 2 3 3 2" xfId="13974" xr:uid="{980226C7-95BB-4641-8F8E-3E9ABE13E7EF}"/>
    <cellStyle name="Normal 2 4 5 2 2 2 3 3 3" xfId="22414" xr:uid="{B8CF5EB9-9CD2-4D26-AF31-C80EE5097024}"/>
    <cellStyle name="Normal 2 4 5 2 2 2 3 4" xfId="9756" xr:uid="{F4B66E0C-EF01-4CDC-AB7D-39004CF00154}"/>
    <cellStyle name="Normal 2 4 5 2 2 2 3 5" xfId="18197" xr:uid="{229F7D50-F619-474E-995E-B8325E45616E}"/>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3D163399-0274-4C35-A287-C078FE226DDC}"/>
    <cellStyle name="Normal 2 4 5 2 2 2 4 2 2 3" xfId="24972" xr:uid="{08C12F9F-16C6-40E7-8DFD-F701169FFC14}"/>
    <cellStyle name="Normal 2 4 5 2 2 2 4 2 3" xfId="12314" xr:uid="{1C1AF728-658D-4613-8F6C-B695715EAA81}"/>
    <cellStyle name="Normal 2 4 5 2 2 2 4 2 4" xfId="20755" xr:uid="{7CC1B74F-037B-43C5-A937-FD154D980508}"/>
    <cellStyle name="Normal 2 4 5 2 2 2 4 3" xfId="5937" xr:uid="{00000000-0005-0000-0000-000044100000}"/>
    <cellStyle name="Normal 2 4 5 2 2 2 4 3 2" xfId="14387" xr:uid="{292D2C6C-5AD6-421C-BFC1-9895F0B78C60}"/>
    <cellStyle name="Normal 2 4 5 2 2 2 4 3 3" xfId="22827" xr:uid="{18C16D06-717B-4353-AA7C-DAA3148C0C9F}"/>
    <cellStyle name="Normal 2 4 5 2 2 2 4 4" xfId="10169" xr:uid="{1A94B2FE-0FCD-4947-BCB0-6F1146EDABB3}"/>
    <cellStyle name="Normal 2 4 5 2 2 2 4 5" xfId="18610" xr:uid="{DADF0D30-8019-4865-B5DC-F89A4499E1C9}"/>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DF0ECA84-5482-4684-8664-79C684C72ADA}"/>
    <cellStyle name="Normal 2 4 5 2 2 2 5 2 2 3" xfId="25385" xr:uid="{AC604F5B-5456-4441-B096-DD2DFBD7935C}"/>
    <cellStyle name="Normal 2 4 5 2 2 2 5 2 3" xfId="12727" xr:uid="{BA4033AD-63D4-49D0-93C4-C00599643947}"/>
    <cellStyle name="Normal 2 4 5 2 2 2 5 2 4" xfId="21168" xr:uid="{5D78FD97-FE22-42B3-8D55-62FB9794E922}"/>
    <cellStyle name="Normal 2 4 5 2 2 2 5 3" xfId="6350" xr:uid="{00000000-0005-0000-0000-000048100000}"/>
    <cellStyle name="Normal 2 4 5 2 2 2 5 3 2" xfId="14800" xr:uid="{2A544290-C8FC-4014-A245-06B3A952D072}"/>
    <cellStyle name="Normal 2 4 5 2 2 2 5 3 3" xfId="23240" xr:uid="{EE46415C-DC53-4799-A025-2BF5E665CAF1}"/>
    <cellStyle name="Normal 2 4 5 2 2 2 5 4" xfId="10582" xr:uid="{6215D259-80F3-48F3-B8D2-1CE155B745F3}"/>
    <cellStyle name="Normal 2 4 5 2 2 2 5 5" xfId="19023" xr:uid="{84777DA1-2DFB-4AEF-AD00-DA5167AFA552}"/>
    <cellStyle name="Normal 2 4 5 2 2 2 6" xfId="2480" xr:uid="{00000000-0005-0000-0000-000049100000}"/>
    <cellStyle name="Normal 2 4 5 2 2 2 6 2" xfId="6763" xr:uid="{00000000-0005-0000-0000-00004A100000}"/>
    <cellStyle name="Normal 2 4 5 2 2 2 6 2 2" xfId="15213" xr:uid="{7346BD62-2559-4A6F-AE23-A5CE30B148C8}"/>
    <cellStyle name="Normal 2 4 5 2 2 2 6 2 3" xfId="23653" xr:uid="{1DC77E87-1C6D-42AA-AB83-DA64DEDF02B1}"/>
    <cellStyle name="Normal 2 4 5 2 2 2 6 3" xfId="10995" xr:uid="{8804E667-C568-458C-ABDE-D24DB782C905}"/>
    <cellStyle name="Normal 2 4 5 2 2 2 6 4" xfId="19436" xr:uid="{DAA6DCE3-C146-4DD5-AF4B-B001C359D1E7}"/>
    <cellStyle name="Normal 2 4 5 2 2 2 7" xfId="4697" xr:uid="{00000000-0005-0000-0000-00004B100000}"/>
    <cellStyle name="Normal 2 4 5 2 2 2 7 2" xfId="13147" xr:uid="{29F43C76-5CD0-423C-9E18-75244DD6E101}"/>
    <cellStyle name="Normal 2 4 5 2 2 2 7 3" xfId="21587" xr:uid="{1C0DF9C7-84BE-44C2-956D-C0BBC15B88AE}"/>
    <cellStyle name="Normal 2 4 5 2 2 2 8" xfId="8929" xr:uid="{6D07835B-E3D6-48AF-A4F1-BB9C08E0D138}"/>
    <cellStyle name="Normal 2 4 5 2 2 2 9" xfId="17370" xr:uid="{CCD5A761-BA03-42A1-B4C9-7061E759210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B80A76FC-BDFE-4DC2-9EEF-DC18C7757617}"/>
    <cellStyle name="Normal 2 4 5 2 2 3 2 2 3" xfId="24145" xr:uid="{A9D52A1E-032D-4CDA-B631-BB0DC9C4F6FA}"/>
    <cellStyle name="Normal 2 4 5 2 2 3 2 3" xfId="11487" xr:uid="{70AC2714-C1F8-4079-A996-84A104DCB376}"/>
    <cellStyle name="Normal 2 4 5 2 2 3 2 4" xfId="19928" xr:uid="{E2B84147-1004-4AED-8449-95559B216464}"/>
    <cellStyle name="Normal 2 4 5 2 2 3 3" xfId="5110" xr:uid="{00000000-0005-0000-0000-00004F100000}"/>
    <cellStyle name="Normal 2 4 5 2 2 3 3 2" xfId="13560" xr:uid="{75291F81-588B-442D-AE9A-C9EE2B8BFF9F}"/>
    <cellStyle name="Normal 2 4 5 2 2 3 3 3" xfId="22000" xr:uid="{AB39EB7E-9866-4777-9194-2236FF328653}"/>
    <cellStyle name="Normal 2 4 5 2 2 3 4" xfId="9342" xr:uid="{CB73FC64-4B40-4D77-9235-BB73D6698CA7}"/>
    <cellStyle name="Normal 2 4 5 2 2 3 5" xfId="17783" xr:uid="{CB104450-DEBF-40D7-8C33-59FFF493B689}"/>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BD64C41C-285D-45CD-BC02-BBB50F259F0C}"/>
    <cellStyle name="Normal 2 4 5 2 2 4 2 2 3" xfId="24558" xr:uid="{9D6C9B67-53F5-4CFA-988D-46D87BE154B9}"/>
    <cellStyle name="Normal 2 4 5 2 2 4 2 3" xfId="11900" xr:uid="{A0887B38-8EF1-42CD-8F82-034CE5F4DDDF}"/>
    <cellStyle name="Normal 2 4 5 2 2 4 2 4" xfId="20341" xr:uid="{980D96BE-78C6-4007-B5B6-8ED814B5E91E}"/>
    <cellStyle name="Normal 2 4 5 2 2 4 3" xfId="5523" xr:uid="{00000000-0005-0000-0000-000053100000}"/>
    <cellStyle name="Normal 2 4 5 2 2 4 3 2" xfId="13973" xr:uid="{F6088FF2-DD57-455C-9685-D9ACF50023AA}"/>
    <cellStyle name="Normal 2 4 5 2 2 4 3 3" xfId="22413" xr:uid="{730E2C5F-BC27-4AAE-8468-BA595B52423D}"/>
    <cellStyle name="Normal 2 4 5 2 2 4 4" xfId="9755" xr:uid="{FE9B3993-D79E-4341-BCD7-921E1F394AA6}"/>
    <cellStyle name="Normal 2 4 5 2 2 4 5" xfId="18196" xr:uid="{384D815B-8DBF-4114-9C10-A57A0ABA2C0C}"/>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21854BAF-BA3E-44FE-8680-03F18477A0A0}"/>
    <cellStyle name="Normal 2 4 5 2 2 5 2 2 3" xfId="24971" xr:uid="{8E795210-D08B-407F-8049-BB0AE7742A57}"/>
    <cellStyle name="Normal 2 4 5 2 2 5 2 3" xfId="12313" xr:uid="{1A007E70-3849-484A-9F43-ECECA9A01BB9}"/>
    <cellStyle name="Normal 2 4 5 2 2 5 2 4" xfId="20754" xr:uid="{59A593AE-DB67-4ACD-8D48-8B23200A70B3}"/>
    <cellStyle name="Normal 2 4 5 2 2 5 3" xfId="5936" xr:uid="{00000000-0005-0000-0000-000057100000}"/>
    <cellStyle name="Normal 2 4 5 2 2 5 3 2" xfId="14386" xr:uid="{9C8E7548-B438-4D98-8BA7-0F8C76E6E5C0}"/>
    <cellStyle name="Normal 2 4 5 2 2 5 3 3" xfId="22826" xr:uid="{2112ACA8-B6B8-492C-8C33-27C48BCFCBA5}"/>
    <cellStyle name="Normal 2 4 5 2 2 5 4" xfId="10168" xr:uid="{615994EA-04BE-4737-B18F-F5DA15037EFC}"/>
    <cellStyle name="Normal 2 4 5 2 2 5 5" xfId="18609" xr:uid="{40C03463-9EE8-4853-AC7B-2398846DF7B5}"/>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B6ED30CE-F9B7-4815-A06F-7932CB61333F}"/>
    <cellStyle name="Normal 2 4 5 2 2 6 2 2 3" xfId="25384" xr:uid="{BB3C1C9F-A673-4BA1-941A-5EFE1B8B9CB4}"/>
    <cellStyle name="Normal 2 4 5 2 2 6 2 3" xfId="12726" xr:uid="{EC269E9E-D38F-4522-9CF4-A8B5FF1FDBF7}"/>
    <cellStyle name="Normal 2 4 5 2 2 6 2 4" xfId="21167" xr:uid="{D5975BE0-5D2F-45E6-BC83-925485271C3F}"/>
    <cellStyle name="Normal 2 4 5 2 2 6 3" xfId="6349" xr:uid="{00000000-0005-0000-0000-00005B100000}"/>
    <cellStyle name="Normal 2 4 5 2 2 6 3 2" xfId="14799" xr:uid="{D0F885E4-9743-4DAB-8FD9-6743265BE88C}"/>
    <cellStyle name="Normal 2 4 5 2 2 6 3 3" xfId="23239" xr:uid="{7C75CCC6-6A61-4E5A-A6F2-FD30DBF62CCF}"/>
    <cellStyle name="Normal 2 4 5 2 2 6 4" xfId="10581" xr:uid="{3F9A5E3D-70C6-49F6-AEEB-4942DC0E7839}"/>
    <cellStyle name="Normal 2 4 5 2 2 6 5" xfId="19022" xr:uid="{9070EA56-E468-43B2-8387-8CF1575C1982}"/>
    <cellStyle name="Normal 2 4 5 2 2 7" xfId="2479" xr:uid="{00000000-0005-0000-0000-00005C100000}"/>
    <cellStyle name="Normal 2 4 5 2 2 7 2" xfId="6762" xr:uid="{00000000-0005-0000-0000-00005D100000}"/>
    <cellStyle name="Normal 2 4 5 2 2 7 2 2" xfId="15212" xr:uid="{926AD848-D21B-4635-9728-0DDA297FCC86}"/>
    <cellStyle name="Normal 2 4 5 2 2 7 2 3" xfId="23652" xr:uid="{2E3714AF-54EA-408F-A5DA-9DEA7FC665A9}"/>
    <cellStyle name="Normal 2 4 5 2 2 7 3" xfId="10994" xr:uid="{E3EF77A2-351A-4ECD-B0D1-C2C7D196C350}"/>
    <cellStyle name="Normal 2 4 5 2 2 7 4" xfId="19435" xr:uid="{55D6A62B-EC22-4504-8011-043B28F931BC}"/>
    <cellStyle name="Normal 2 4 5 2 2 8" xfId="4696" xr:uid="{00000000-0005-0000-0000-00005E100000}"/>
    <cellStyle name="Normal 2 4 5 2 2 8 2" xfId="13146" xr:uid="{3D2C4D70-9514-4444-9594-804A40CB5C8B}"/>
    <cellStyle name="Normal 2 4 5 2 2 8 3" xfId="21586" xr:uid="{21E79346-9013-4574-99FD-88BA4777A2E4}"/>
    <cellStyle name="Normal 2 4 5 2 2 9" xfId="8928" xr:uid="{721375F7-A93E-4D9D-B590-B844D93481B7}"/>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068118CE-F2F9-42D0-B654-54C36C3D99AE}"/>
    <cellStyle name="Normal 2 4 5 2 3 2 2 2 3" xfId="24147" xr:uid="{7948734A-9763-4F44-AE33-79106E0E04B7}"/>
    <cellStyle name="Normal 2 4 5 2 3 2 2 3" xfId="11489" xr:uid="{17CE5A44-0836-47FE-912E-42783A4A0BBD}"/>
    <cellStyle name="Normal 2 4 5 2 3 2 2 4" xfId="19930" xr:uid="{C04968B8-3609-492E-B0D2-4E1F4DFC2358}"/>
    <cellStyle name="Normal 2 4 5 2 3 2 3" xfId="5112" xr:uid="{00000000-0005-0000-0000-000063100000}"/>
    <cellStyle name="Normal 2 4 5 2 3 2 3 2" xfId="13562" xr:uid="{6033DC15-BC30-42F8-9DF8-63FF31F3B8CB}"/>
    <cellStyle name="Normal 2 4 5 2 3 2 3 3" xfId="22002" xr:uid="{71C3BDB0-DC5C-4833-B149-AA31AEBEECD4}"/>
    <cellStyle name="Normal 2 4 5 2 3 2 4" xfId="9344" xr:uid="{E7A68D17-FDB3-450B-8CB5-4DEC6972BAC2}"/>
    <cellStyle name="Normal 2 4 5 2 3 2 5" xfId="17785" xr:uid="{F1D83B4C-F252-4DE8-94BA-8B6FBF11E377}"/>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5F7D740F-3703-407A-B280-5C25FDDAB197}"/>
    <cellStyle name="Normal 2 4 5 2 3 3 2 2 3" xfId="24560" xr:uid="{D4B3C732-F1B9-481A-AAAE-2A5789BFF611}"/>
    <cellStyle name="Normal 2 4 5 2 3 3 2 3" xfId="11902" xr:uid="{A88FDDE3-9B55-4D2C-801A-3E68F5AE029D}"/>
    <cellStyle name="Normal 2 4 5 2 3 3 2 4" xfId="20343" xr:uid="{EF331843-F915-45B9-B459-45C707F1003F}"/>
    <cellStyle name="Normal 2 4 5 2 3 3 3" xfId="5525" xr:uid="{00000000-0005-0000-0000-000067100000}"/>
    <cellStyle name="Normal 2 4 5 2 3 3 3 2" xfId="13975" xr:uid="{ED8FC982-212F-428B-9E8E-F509D692D2A4}"/>
    <cellStyle name="Normal 2 4 5 2 3 3 3 3" xfId="22415" xr:uid="{EB3D4A20-F6A4-43DF-809E-8FA53F0DD687}"/>
    <cellStyle name="Normal 2 4 5 2 3 3 4" xfId="9757" xr:uid="{722141A5-4A87-49B0-A258-8B83FCF9854C}"/>
    <cellStyle name="Normal 2 4 5 2 3 3 5" xfId="18198" xr:uid="{7D765D7B-7E20-484D-A655-FA92E5012F3A}"/>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69C8E021-A124-4032-87F2-16176E554251}"/>
    <cellStyle name="Normal 2 4 5 2 3 4 2 2 3" xfId="24973" xr:uid="{6E671E5F-BCDD-450B-8C01-3B4B0D2ED886}"/>
    <cellStyle name="Normal 2 4 5 2 3 4 2 3" xfId="12315" xr:uid="{685786C1-8A53-4F81-AF84-D802ADE5E3D3}"/>
    <cellStyle name="Normal 2 4 5 2 3 4 2 4" xfId="20756" xr:uid="{44433351-E497-45F6-AD48-252D19898C5F}"/>
    <cellStyle name="Normal 2 4 5 2 3 4 3" xfId="5938" xr:uid="{00000000-0005-0000-0000-00006B100000}"/>
    <cellStyle name="Normal 2 4 5 2 3 4 3 2" xfId="14388" xr:uid="{988092EB-D908-4E3E-975F-938FFB7587CB}"/>
    <cellStyle name="Normal 2 4 5 2 3 4 3 3" xfId="22828" xr:uid="{DD22C3F3-E2AD-4BE3-85A8-7CD44364D0C2}"/>
    <cellStyle name="Normal 2 4 5 2 3 4 4" xfId="10170" xr:uid="{38CC85DC-AEF7-450E-BEB7-29A440403534}"/>
    <cellStyle name="Normal 2 4 5 2 3 4 5" xfId="18611" xr:uid="{1F0C471A-E55B-4167-8927-F86ECC2DEC3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D506C2D5-390F-4E13-870E-64651089FB3B}"/>
    <cellStyle name="Normal 2 4 5 2 3 5 2 2 3" xfId="25386" xr:uid="{CC3272C1-FD12-4285-9E52-D2C1B36EB8EF}"/>
    <cellStyle name="Normal 2 4 5 2 3 5 2 3" xfId="12728" xr:uid="{44835FE0-C99A-419D-8333-AE703ACFE6AE}"/>
    <cellStyle name="Normal 2 4 5 2 3 5 2 4" xfId="21169" xr:uid="{2DB0D9FC-B8FC-4ABC-9E64-20475BC33D97}"/>
    <cellStyle name="Normal 2 4 5 2 3 5 3" xfId="6351" xr:uid="{00000000-0005-0000-0000-00006F100000}"/>
    <cellStyle name="Normal 2 4 5 2 3 5 3 2" xfId="14801" xr:uid="{19D09F71-1065-4A39-8C1A-95A181251244}"/>
    <cellStyle name="Normal 2 4 5 2 3 5 3 3" xfId="23241" xr:uid="{B8D6CE5D-82E0-40A0-9054-E8C128EAA82E}"/>
    <cellStyle name="Normal 2 4 5 2 3 5 4" xfId="10583" xr:uid="{6E827C8B-76C6-49D1-9700-3CB7FF0084B5}"/>
    <cellStyle name="Normal 2 4 5 2 3 5 5" xfId="19024" xr:uid="{EA9A4C7A-B9E5-4CA0-AD41-E41C5A9F9D66}"/>
    <cellStyle name="Normal 2 4 5 2 3 6" xfId="2481" xr:uid="{00000000-0005-0000-0000-000070100000}"/>
    <cellStyle name="Normal 2 4 5 2 3 6 2" xfId="6764" xr:uid="{00000000-0005-0000-0000-000071100000}"/>
    <cellStyle name="Normal 2 4 5 2 3 6 2 2" xfId="15214" xr:uid="{4A5CEB16-8C2A-4458-962E-CCDDEC4848D6}"/>
    <cellStyle name="Normal 2 4 5 2 3 6 2 3" xfId="23654" xr:uid="{206D61BE-1BA5-4B41-9D09-27071E87C6CA}"/>
    <cellStyle name="Normal 2 4 5 2 3 6 3" xfId="10996" xr:uid="{F8CB0069-EA17-4B05-AC3F-C0993B4851A1}"/>
    <cellStyle name="Normal 2 4 5 2 3 6 4" xfId="19437" xr:uid="{619843F6-B219-41DC-B9EC-135FB21791A4}"/>
    <cellStyle name="Normal 2 4 5 2 3 7" xfId="4698" xr:uid="{00000000-0005-0000-0000-000072100000}"/>
    <cellStyle name="Normal 2 4 5 2 3 7 2" xfId="13148" xr:uid="{797FB3FE-F28B-41A3-9A31-5F6E5D4E4CCE}"/>
    <cellStyle name="Normal 2 4 5 2 3 7 3" xfId="21588" xr:uid="{30A9953C-48CC-4466-B177-C4F5977DBC9E}"/>
    <cellStyle name="Normal 2 4 5 2 3 8" xfId="8930" xr:uid="{E4A0BB91-2D56-4622-8296-D855D128823C}"/>
    <cellStyle name="Normal 2 4 5 2 3 9" xfId="17371" xr:uid="{3A0DB907-3356-40E9-A26E-8DA2C26553E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EBC91C45-A365-4DDE-BC41-C144929863D6}"/>
    <cellStyle name="Normal 2 4 5 2 4 2 2 3" xfId="24144" xr:uid="{4496AEBD-C256-4D1C-AD09-FB93EE3BDC4F}"/>
    <cellStyle name="Normal 2 4 5 2 4 2 3" xfId="11486" xr:uid="{E2F4578F-B22D-4A71-AA8E-19C89D69C04A}"/>
    <cellStyle name="Normal 2 4 5 2 4 2 4" xfId="19927" xr:uid="{6FA630EF-EFE0-40EA-8DCF-8BC4B76F131D}"/>
    <cellStyle name="Normal 2 4 5 2 4 3" xfId="5109" xr:uid="{00000000-0005-0000-0000-000076100000}"/>
    <cellStyle name="Normal 2 4 5 2 4 3 2" xfId="13559" xr:uid="{F5C8F411-DCBF-47CD-BB9B-97D52A5AD14E}"/>
    <cellStyle name="Normal 2 4 5 2 4 3 3" xfId="21999" xr:uid="{AB0CD436-0C4A-4258-B977-77C56796C92D}"/>
    <cellStyle name="Normal 2 4 5 2 4 4" xfId="9341" xr:uid="{2861EB3F-C72A-47F4-88AD-1A7A43AC077A}"/>
    <cellStyle name="Normal 2 4 5 2 4 5" xfId="17782" xr:uid="{3B2851F3-F5D4-4767-AE05-F7C95E40F6C6}"/>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1977F9B2-0BD4-4027-8C61-35DA915EC12C}"/>
    <cellStyle name="Normal 2 4 5 2 5 2 2 3" xfId="24557" xr:uid="{5605A49F-CC2E-4CED-8E77-36D04E163760}"/>
    <cellStyle name="Normal 2 4 5 2 5 2 3" xfId="11899" xr:uid="{67431FB7-8C85-4E80-93A5-4743FB03EA0B}"/>
    <cellStyle name="Normal 2 4 5 2 5 2 4" xfId="20340" xr:uid="{D0AE347F-608C-403B-9CED-476655DADF4F}"/>
    <cellStyle name="Normal 2 4 5 2 5 3" xfId="5522" xr:uid="{00000000-0005-0000-0000-00007A100000}"/>
    <cellStyle name="Normal 2 4 5 2 5 3 2" xfId="13972" xr:uid="{366014EE-92EE-4658-9FB2-DD96F86A25F1}"/>
    <cellStyle name="Normal 2 4 5 2 5 3 3" xfId="22412" xr:uid="{CBBB4013-17C2-4CB7-BD69-B4219465110E}"/>
    <cellStyle name="Normal 2 4 5 2 5 4" xfId="9754" xr:uid="{C23E1CBC-AAD0-47F7-B59F-7BD6262D435A}"/>
    <cellStyle name="Normal 2 4 5 2 5 5" xfId="18195" xr:uid="{7654E0A9-3896-4540-916F-79F17D3F26C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AE340A27-03D8-42DB-8C37-31D2D1F91A09}"/>
    <cellStyle name="Normal 2 4 5 2 6 2 2 3" xfId="24970" xr:uid="{E7DC0BCE-0FB1-48F0-B40E-9C8A89981B90}"/>
    <cellStyle name="Normal 2 4 5 2 6 2 3" xfId="12312" xr:uid="{BF57C6D7-9941-40EC-904B-E735176AFDC2}"/>
    <cellStyle name="Normal 2 4 5 2 6 2 4" xfId="20753" xr:uid="{8B9C3AE2-B5AD-4C5B-A54A-F4E20969BE78}"/>
    <cellStyle name="Normal 2 4 5 2 6 3" xfId="5935" xr:uid="{00000000-0005-0000-0000-00007E100000}"/>
    <cellStyle name="Normal 2 4 5 2 6 3 2" xfId="14385" xr:uid="{61364A94-811F-4FB3-9597-CF7FD43F5917}"/>
    <cellStyle name="Normal 2 4 5 2 6 3 3" xfId="22825" xr:uid="{3CF29CF5-D46D-4536-B5A2-14A1F36CB8BF}"/>
    <cellStyle name="Normal 2 4 5 2 6 4" xfId="10167" xr:uid="{4BA63B3F-5414-4A56-8901-4DA9CED4FC96}"/>
    <cellStyle name="Normal 2 4 5 2 6 5" xfId="18608" xr:uid="{4598DB17-E7D7-451B-8702-E5EAEF856BB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18CF2F10-01D2-46F9-B167-2E63C699FBC3}"/>
    <cellStyle name="Normal 2 4 5 2 7 2 2 3" xfId="25383" xr:uid="{C7B91D0A-06C1-4DAF-AE0D-665C953F927C}"/>
    <cellStyle name="Normal 2 4 5 2 7 2 3" xfId="12725" xr:uid="{8EE658EC-13E5-4EF6-9470-AF2F6EB66935}"/>
    <cellStyle name="Normal 2 4 5 2 7 2 4" xfId="21166" xr:uid="{31784A73-52D6-4F75-A128-C38B6347773D}"/>
    <cellStyle name="Normal 2 4 5 2 7 3" xfId="6348" xr:uid="{00000000-0005-0000-0000-000082100000}"/>
    <cellStyle name="Normal 2 4 5 2 7 3 2" xfId="14798" xr:uid="{EDF8011B-B8AE-4F9C-A517-72AC90806DB8}"/>
    <cellStyle name="Normal 2 4 5 2 7 3 3" xfId="23238" xr:uid="{8CDD8A53-1E4C-4E03-9B53-228E7D19B188}"/>
    <cellStyle name="Normal 2 4 5 2 7 4" xfId="10580" xr:uid="{351DC2CA-BA03-4BF9-8955-CBA146E61EE1}"/>
    <cellStyle name="Normal 2 4 5 2 7 5" xfId="19021" xr:uid="{6651A415-7AA7-41C9-9B35-F0AB39957416}"/>
    <cellStyle name="Normal 2 4 5 2 8" xfId="2478" xr:uid="{00000000-0005-0000-0000-000083100000}"/>
    <cellStyle name="Normal 2 4 5 2 8 2" xfId="6761" xr:uid="{00000000-0005-0000-0000-000084100000}"/>
    <cellStyle name="Normal 2 4 5 2 8 2 2" xfId="15211" xr:uid="{BA6FFA49-4E51-42A2-B5B9-64EBCC7CFA4D}"/>
    <cellStyle name="Normal 2 4 5 2 8 2 3" xfId="23651" xr:uid="{5D4BF0A0-2C00-44BB-BFE0-09AC6E6119BB}"/>
    <cellStyle name="Normal 2 4 5 2 8 3" xfId="10993" xr:uid="{3E019B35-8021-4A7F-86E0-35FA464183C2}"/>
    <cellStyle name="Normal 2 4 5 2 8 4" xfId="19434" xr:uid="{23EFDAEE-FA16-4B0E-BD5F-FCC667B543D8}"/>
    <cellStyle name="Normal 2 4 5 2 9" xfId="4695" xr:uid="{00000000-0005-0000-0000-000085100000}"/>
    <cellStyle name="Normal 2 4 5 2 9 2" xfId="13145" xr:uid="{EBE2253A-9D9B-4BF3-80E5-5EC607B0267F}"/>
    <cellStyle name="Normal 2 4 5 2 9 3" xfId="21585" xr:uid="{AD1733D8-6EBF-420E-A7D2-61E7006C19DF}"/>
    <cellStyle name="Normal 2 4 5 3" xfId="308" xr:uid="{00000000-0005-0000-0000-000086100000}"/>
    <cellStyle name="Normal 2 4 5 3 10" xfId="17372" xr:uid="{C8872CC5-BCA8-43DD-B571-5ECC61406C25}"/>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A57F75DF-2446-4C7A-9CD2-030A3C450B4F}"/>
    <cellStyle name="Normal 2 4 5 3 2 2 2 2 3" xfId="24149" xr:uid="{DBF99716-BBDD-432B-BA6B-9002F51CA5D4}"/>
    <cellStyle name="Normal 2 4 5 3 2 2 2 3" xfId="11491" xr:uid="{97BB0FC0-E77A-448E-A3E6-274DE074A577}"/>
    <cellStyle name="Normal 2 4 5 3 2 2 2 4" xfId="19932" xr:uid="{95157F73-8C56-471A-802B-77BB419F365B}"/>
    <cellStyle name="Normal 2 4 5 3 2 2 3" xfId="5114" xr:uid="{00000000-0005-0000-0000-00008B100000}"/>
    <cellStyle name="Normal 2 4 5 3 2 2 3 2" xfId="13564" xr:uid="{47EA33F4-FCC2-458D-A630-6D078605719A}"/>
    <cellStyle name="Normal 2 4 5 3 2 2 3 3" xfId="22004" xr:uid="{2CAB091F-0D0D-44EE-A45B-C19BB74ED30C}"/>
    <cellStyle name="Normal 2 4 5 3 2 2 4" xfId="9346" xr:uid="{08F33884-498C-43AF-8AC3-2D6ED912E626}"/>
    <cellStyle name="Normal 2 4 5 3 2 2 5" xfId="17787" xr:uid="{E0DF1020-6087-4B94-AC8E-9506FE60797C}"/>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F2BF8B0D-6473-49C6-A55D-3BC6EBB6A36A}"/>
    <cellStyle name="Normal 2 4 5 3 2 3 2 2 3" xfId="24562" xr:uid="{90BD1F79-8BF6-4D1A-BAAC-83BB8266638E}"/>
    <cellStyle name="Normal 2 4 5 3 2 3 2 3" xfId="11904" xr:uid="{6BA5618B-5B07-40D2-B763-33007FC88726}"/>
    <cellStyle name="Normal 2 4 5 3 2 3 2 4" xfId="20345" xr:uid="{710CBF2A-3B1E-4C42-9EB3-23F381CCA59C}"/>
    <cellStyle name="Normal 2 4 5 3 2 3 3" xfId="5527" xr:uid="{00000000-0005-0000-0000-00008F100000}"/>
    <cellStyle name="Normal 2 4 5 3 2 3 3 2" xfId="13977" xr:uid="{AA3011B2-860E-432D-B8CB-2A63DDCE83CA}"/>
    <cellStyle name="Normal 2 4 5 3 2 3 3 3" xfId="22417" xr:uid="{D7486456-D42C-4386-AC62-5217B8EB69EE}"/>
    <cellStyle name="Normal 2 4 5 3 2 3 4" xfId="9759" xr:uid="{41496388-4FE9-4E22-A821-409D25761B13}"/>
    <cellStyle name="Normal 2 4 5 3 2 3 5" xfId="18200" xr:uid="{684E52C4-0E32-440A-9C67-07531E45914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0126E5C2-03A1-4AFA-8A27-27D636DA453D}"/>
    <cellStyle name="Normal 2 4 5 3 2 4 2 2 3" xfId="24975" xr:uid="{C2543551-209D-4CFF-85EE-1E1BC21B17D4}"/>
    <cellStyle name="Normal 2 4 5 3 2 4 2 3" xfId="12317" xr:uid="{C5328E0C-3064-4D07-B17E-5B235B6312D3}"/>
    <cellStyle name="Normal 2 4 5 3 2 4 2 4" xfId="20758" xr:uid="{D26B0876-D428-4326-B2CF-6330E2B9145D}"/>
    <cellStyle name="Normal 2 4 5 3 2 4 3" xfId="5940" xr:uid="{00000000-0005-0000-0000-000093100000}"/>
    <cellStyle name="Normal 2 4 5 3 2 4 3 2" xfId="14390" xr:uid="{4A9CC263-9920-42D7-B4BE-CEE96045E8E8}"/>
    <cellStyle name="Normal 2 4 5 3 2 4 3 3" xfId="22830" xr:uid="{82E1A8EA-7780-48D7-A5AC-1FAF4D0E7FD8}"/>
    <cellStyle name="Normal 2 4 5 3 2 4 4" xfId="10172" xr:uid="{19CA8F55-43EE-44BD-98FD-2929A5627AAA}"/>
    <cellStyle name="Normal 2 4 5 3 2 4 5" xfId="18613" xr:uid="{28A8BDF9-7344-4389-854D-1CC518A3077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D828A27E-995B-4D50-AE44-09772C0E0E35}"/>
    <cellStyle name="Normal 2 4 5 3 2 5 2 2 3" xfId="25388" xr:uid="{9E9D973C-7CC5-4554-ABE6-0A6881918564}"/>
    <cellStyle name="Normal 2 4 5 3 2 5 2 3" xfId="12730" xr:uid="{8DBC36A5-E351-4C71-8B9F-8BACFED00E6E}"/>
    <cellStyle name="Normal 2 4 5 3 2 5 2 4" xfId="21171" xr:uid="{77E79069-34A4-4F2D-8020-7D5C99C2B344}"/>
    <cellStyle name="Normal 2 4 5 3 2 5 3" xfId="6353" xr:uid="{00000000-0005-0000-0000-000097100000}"/>
    <cellStyle name="Normal 2 4 5 3 2 5 3 2" xfId="14803" xr:uid="{61F5F964-F513-4CB8-938A-B4F83E70706E}"/>
    <cellStyle name="Normal 2 4 5 3 2 5 3 3" xfId="23243" xr:uid="{A2E5E877-A4DC-49FF-9BFF-22069365B579}"/>
    <cellStyle name="Normal 2 4 5 3 2 5 4" xfId="10585" xr:uid="{FF371B79-036D-4D42-B06F-DC1975D1770B}"/>
    <cellStyle name="Normal 2 4 5 3 2 5 5" xfId="19026" xr:uid="{7ABEEF9D-8239-433E-9453-6365715E90DE}"/>
    <cellStyle name="Normal 2 4 5 3 2 6" xfId="2483" xr:uid="{00000000-0005-0000-0000-000098100000}"/>
    <cellStyle name="Normal 2 4 5 3 2 6 2" xfId="6766" xr:uid="{00000000-0005-0000-0000-000099100000}"/>
    <cellStyle name="Normal 2 4 5 3 2 6 2 2" xfId="15216" xr:uid="{A811B5B2-1840-4DA3-9E4B-C34B65A9C99B}"/>
    <cellStyle name="Normal 2 4 5 3 2 6 2 3" xfId="23656" xr:uid="{20D88A43-8D89-4AA3-B647-361F4024F7E1}"/>
    <cellStyle name="Normal 2 4 5 3 2 6 3" xfId="10998" xr:uid="{82CCCD79-709E-4370-A09C-EAAB3BECE5DD}"/>
    <cellStyle name="Normal 2 4 5 3 2 6 4" xfId="19439" xr:uid="{66FB7075-8CD1-4C4C-A58C-D03853922982}"/>
    <cellStyle name="Normal 2 4 5 3 2 7" xfId="4700" xr:uid="{00000000-0005-0000-0000-00009A100000}"/>
    <cellStyle name="Normal 2 4 5 3 2 7 2" xfId="13150" xr:uid="{09AFA770-0E67-4CDA-A7CF-AD65252715ED}"/>
    <cellStyle name="Normal 2 4 5 3 2 7 3" xfId="21590" xr:uid="{D34D8DF8-AFCB-4BF6-9A37-A2567D8AF202}"/>
    <cellStyle name="Normal 2 4 5 3 2 8" xfId="8932" xr:uid="{98FC5EA4-3206-4DB7-921F-462A579EFD0A}"/>
    <cellStyle name="Normal 2 4 5 3 2 9" xfId="17373" xr:uid="{E02FBA05-A9FC-4F28-B70E-211073CF58D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727AC933-322E-45E7-BD8C-1D6C9C95CEC6}"/>
    <cellStyle name="Normal 2 4 5 3 3 2 2 3" xfId="24148" xr:uid="{490F81D8-0A4D-43CF-BF43-43B1E0936045}"/>
    <cellStyle name="Normal 2 4 5 3 3 2 3" xfId="11490" xr:uid="{F365A18D-47FC-4365-941A-C68B3755AC0A}"/>
    <cellStyle name="Normal 2 4 5 3 3 2 4" xfId="19931" xr:uid="{23EF8565-882A-43F1-A810-E0A0F04BC813}"/>
    <cellStyle name="Normal 2 4 5 3 3 3" xfId="5113" xr:uid="{00000000-0005-0000-0000-00009E100000}"/>
    <cellStyle name="Normal 2 4 5 3 3 3 2" xfId="13563" xr:uid="{3ED2C82F-9FCB-4818-9A8D-F0E8ED5C12A9}"/>
    <cellStyle name="Normal 2 4 5 3 3 3 3" xfId="22003" xr:uid="{B39C30E1-E899-4349-8293-7D692505B9AB}"/>
    <cellStyle name="Normal 2 4 5 3 3 4" xfId="9345" xr:uid="{F74247FC-FCA7-426E-B1B7-DEBFFFB319F6}"/>
    <cellStyle name="Normal 2 4 5 3 3 5" xfId="17786" xr:uid="{856F3389-8451-4BB0-9C8F-44043B08C43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055605C9-C0EA-462A-B1ED-3735C7BB7C8B}"/>
    <cellStyle name="Normal 2 4 5 3 4 2 2 3" xfId="24561" xr:uid="{4A92B668-52E1-4A48-AB35-C01316B33B68}"/>
    <cellStyle name="Normal 2 4 5 3 4 2 3" xfId="11903" xr:uid="{13174A78-3895-4906-B4F4-BFA36053A726}"/>
    <cellStyle name="Normal 2 4 5 3 4 2 4" xfId="20344" xr:uid="{0EA17593-F252-442E-84FA-C95A176F6D47}"/>
    <cellStyle name="Normal 2 4 5 3 4 3" xfId="5526" xr:uid="{00000000-0005-0000-0000-0000A2100000}"/>
    <cellStyle name="Normal 2 4 5 3 4 3 2" xfId="13976" xr:uid="{74DB4695-C5EA-409D-A661-767E68CB0CC6}"/>
    <cellStyle name="Normal 2 4 5 3 4 3 3" xfId="22416" xr:uid="{553A2319-3211-464F-B0D3-4041332921D4}"/>
    <cellStyle name="Normal 2 4 5 3 4 4" xfId="9758" xr:uid="{BAEF1D10-6506-4C15-B2B7-8FD0D95D998A}"/>
    <cellStyle name="Normal 2 4 5 3 4 5" xfId="18199" xr:uid="{A39CB01F-3D48-47FB-B9C8-9E99C42A63D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87527DF8-61BE-4012-A459-09BC140D5FA6}"/>
    <cellStyle name="Normal 2 4 5 3 5 2 2 3" xfId="24974" xr:uid="{16331C91-51AD-4957-93F9-3F6C3CEF5692}"/>
    <cellStyle name="Normal 2 4 5 3 5 2 3" xfId="12316" xr:uid="{0D9965FE-3944-4F4D-B503-34A6FE910BFC}"/>
    <cellStyle name="Normal 2 4 5 3 5 2 4" xfId="20757" xr:uid="{ED9F6D95-9495-4568-B9CC-1819E5ABC690}"/>
    <cellStyle name="Normal 2 4 5 3 5 3" xfId="5939" xr:uid="{00000000-0005-0000-0000-0000A6100000}"/>
    <cellStyle name="Normal 2 4 5 3 5 3 2" xfId="14389" xr:uid="{1C7B2C2E-6AB4-4E2E-B64E-6FB261476844}"/>
    <cellStyle name="Normal 2 4 5 3 5 3 3" xfId="22829" xr:uid="{A11FAD5A-2521-4E3F-9194-2E83CF61BF58}"/>
    <cellStyle name="Normal 2 4 5 3 5 4" xfId="10171" xr:uid="{235E6AAC-9D4B-491C-8DC1-D1971A4D237E}"/>
    <cellStyle name="Normal 2 4 5 3 5 5" xfId="18612" xr:uid="{8B800B43-9C26-4D42-8ABB-500FD3A66A74}"/>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9D98E0C7-7ED6-4ECC-8308-D31E2A2A6759}"/>
    <cellStyle name="Normal 2 4 5 3 6 2 2 3" xfId="25387" xr:uid="{88407D52-E23C-41CF-8245-2CE8EE013236}"/>
    <cellStyle name="Normal 2 4 5 3 6 2 3" xfId="12729" xr:uid="{9551A026-219B-4ECD-AE75-4086554857BE}"/>
    <cellStyle name="Normal 2 4 5 3 6 2 4" xfId="21170" xr:uid="{22237D4C-CEF7-4302-95DE-25E4AFF24D65}"/>
    <cellStyle name="Normal 2 4 5 3 6 3" xfId="6352" xr:uid="{00000000-0005-0000-0000-0000AA100000}"/>
    <cellStyle name="Normal 2 4 5 3 6 3 2" xfId="14802" xr:uid="{7C9158AD-B1FA-4F2B-9C4E-FF573576C0F6}"/>
    <cellStyle name="Normal 2 4 5 3 6 3 3" xfId="23242" xr:uid="{98CDB9BC-44C7-43D9-96C9-DF1C3F411CF4}"/>
    <cellStyle name="Normal 2 4 5 3 6 4" xfId="10584" xr:uid="{08754118-800C-4BC9-810D-4C021C5888B1}"/>
    <cellStyle name="Normal 2 4 5 3 6 5" xfId="19025" xr:uid="{2AB69F54-07A9-4BFF-9BF7-DB69A7DFD73B}"/>
    <cellStyle name="Normal 2 4 5 3 7" xfId="2482" xr:uid="{00000000-0005-0000-0000-0000AB100000}"/>
    <cellStyle name="Normal 2 4 5 3 7 2" xfId="6765" xr:uid="{00000000-0005-0000-0000-0000AC100000}"/>
    <cellStyle name="Normal 2 4 5 3 7 2 2" xfId="15215" xr:uid="{1E1A7CC8-115B-4EF5-A898-31BC2A0A0EF8}"/>
    <cellStyle name="Normal 2 4 5 3 7 2 3" xfId="23655" xr:uid="{A7901F67-078B-4467-A011-EC2D7D3AC066}"/>
    <cellStyle name="Normal 2 4 5 3 7 3" xfId="10997" xr:uid="{565A3D15-64AE-42E0-BF6E-BEC7CBEFE459}"/>
    <cellStyle name="Normal 2 4 5 3 7 4" xfId="19438" xr:uid="{1A54B03A-576E-40EC-BBF4-F2F353258808}"/>
    <cellStyle name="Normal 2 4 5 3 8" xfId="4699" xr:uid="{00000000-0005-0000-0000-0000AD100000}"/>
    <cellStyle name="Normal 2 4 5 3 8 2" xfId="13149" xr:uid="{9E562194-FB85-4385-A7B0-F73492DB3B4C}"/>
    <cellStyle name="Normal 2 4 5 3 8 3" xfId="21589" xr:uid="{8A93C2F9-5A32-4167-8BED-59F945A03DF1}"/>
    <cellStyle name="Normal 2 4 5 3 9" xfId="8931" xr:uid="{49F37957-35F3-4A8C-A540-0BDA2A9817F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B97F98A5-C235-479B-B7DD-CF51FED5CE8F}"/>
    <cellStyle name="Normal 2 4 5 4 2 2 2 3" xfId="24150" xr:uid="{99C8ED75-9153-4967-9FB6-92B90463436F}"/>
    <cellStyle name="Normal 2 4 5 4 2 2 3" xfId="11492" xr:uid="{08B78105-5523-4D5A-88F9-95DC474DF3A3}"/>
    <cellStyle name="Normal 2 4 5 4 2 2 4" xfId="19933" xr:uid="{C42304B9-9217-41EB-B32B-909153034313}"/>
    <cellStyle name="Normal 2 4 5 4 2 3" xfId="5115" xr:uid="{00000000-0005-0000-0000-0000B2100000}"/>
    <cellStyle name="Normal 2 4 5 4 2 3 2" xfId="13565" xr:uid="{7B4F8A02-BF38-457C-8FDE-06C3F5E2D4AC}"/>
    <cellStyle name="Normal 2 4 5 4 2 3 3" xfId="22005" xr:uid="{B3411836-0AE2-46D5-8112-9C56A182A8CC}"/>
    <cellStyle name="Normal 2 4 5 4 2 4" xfId="9347" xr:uid="{2C7972CC-C0EF-4085-B1B5-4384C044DAC8}"/>
    <cellStyle name="Normal 2 4 5 4 2 5" xfId="17788" xr:uid="{24917ABA-30B6-42B6-B2C7-28B8DB9810D3}"/>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5A310070-9AAC-468F-9DE2-42E104C07AE9}"/>
    <cellStyle name="Normal 2 4 5 4 3 2 2 3" xfId="24563" xr:uid="{85A00CC1-073C-4ED2-BA07-D286C18322D9}"/>
    <cellStyle name="Normal 2 4 5 4 3 2 3" xfId="11905" xr:uid="{B3B627B1-310C-411A-A67E-97FBFB045377}"/>
    <cellStyle name="Normal 2 4 5 4 3 2 4" xfId="20346" xr:uid="{A7CB4A44-BF07-4D33-BFF8-228D2988222A}"/>
    <cellStyle name="Normal 2 4 5 4 3 3" xfId="5528" xr:uid="{00000000-0005-0000-0000-0000B6100000}"/>
    <cellStyle name="Normal 2 4 5 4 3 3 2" xfId="13978" xr:uid="{DE46EDA5-38C5-45EF-9684-1A34B6E873E4}"/>
    <cellStyle name="Normal 2 4 5 4 3 3 3" xfId="22418" xr:uid="{E500CFAD-7246-44EA-99FD-2CB68FE45A58}"/>
    <cellStyle name="Normal 2 4 5 4 3 4" xfId="9760" xr:uid="{056E9910-511D-4203-8321-1D46568E57FB}"/>
    <cellStyle name="Normal 2 4 5 4 3 5" xfId="18201" xr:uid="{A2346FF7-09C5-45BC-8B7E-C45172AFE2BA}"/>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16D667E1-A949-4367-8885-4FA67BF330ED}"/>
    <cellStyle name="Normal 2 4 5 4 4 2 2 3" xfId="24976" xr:uid="{897B9865-B37F-4B3A-ADFC-0435A10BBFB6}"/>
    <cellStyle name="Normal 2 4 5 4 4 2 3" xfId="12318" xr:uid="{39B2D755-8563-47E7-81EC-0528591745F1}"/>
    <cellStyle name="Normal 2 4 5 4 4 2 4" xfId="20759" xr:uid="{8CCA9C6B-4BCE-44D5-8CED-328B1EDBDC26}"/>
    <cellStyle name="Normal 2 4 5 4 4 3" xfId="5941" xr:uid="{00000000-0005-0000-0000-0000BA100000}"/>
    <cellStyle name="Normal 2 4 5 4 4 3 2" xfId="14391" xr:uid="{9683B844-12D7-40D5-BBC6-578FD84969C0}"/>
    <cellStyle name="Normal 2 4 5 4 4 3 3" xfId="22831" xr:uid="{D83EDE72-60E2-41FA-9B77-2CD57C22B0FC}"/>
    <cellStyle name="Normal 2 4 5 4 4 4" xfId="10173" xr:uid="{E9B34165-2EE1-4B7F-B123-C69C9F438BD7}"/>
    <cellStyle name="Normal 2 4 5 4 4 5" xfId="18614" xr:uid="{DE82E37A-28C5-4B86-A4AF-5A1EE0BF714B}"/>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713D480A-E536-44D7-9111-F8709B452890}"/>
    <cellStyle name="Normal 2 4 5 4 5 2 2 3" xfId="25389" xr:uid="{8B23F439-E923-4AA9-9521-542B50761AD6}"/>
    <cellStyle name="Normal 2 4 5 4 5 2 3" xfId="12731" xr:uid="{61E8C3B5-5E70-4A70-9884-27A715DC64A1}"/>
    <cellStyle name="Normal 2 4 5 4 5 2 4" xfId="21172" xr:uid="{179B7805-9A1C-420E-8248-CB61B99E04BD}"/>
    <cellStyle name="Normal 2 4 5 4 5 3" xfId="6354" xr:uid="{00000000-0005-0000-0000-0000BE100000}"/>
    <cellStyle name="Normal 2 4 5 4 5 3 2" xfId="14804" xr:uid="{85D2EEC8-F833-427F-9C38-B275BEF3DF00}"/>
    <cellStyle name="Normal 2 4 5 4 5 3 3" xfId="23244" xr:uid="{1CC5F1B8-B573-4CF8-8EBC-7B0D500FF150}"/>
    <cellStyle name="Normal 2 4 5 4 5 4" xfId="10586" xr:uid="{D06BDCB3-0D1B-4EB1-9C7B-FB137E47515A}"/>
    <cellStyle name="Normal 2 4 5 4 5 5" xfId="19027" xr:uid="{2F73D31B-5B9D-498C-A4B2-CE7E14B80076}"/>
    <cellStyle name="Normal 2 4 5 4 6" xfId="2484" xr:uid="{00000000-0005-0000-0000-0000BF100000}"/>
    <cellStyle name="Normal 2 4 5 4 6 2" xfId="6767" xr:uid="{00000000-0005-0000-0000-0000C0100000}"/>
    <cellStyle name="Normal 2 4 5 4 6 2 2" xfId="15217" xr:uid="{6A07F8E6-2ED0-4BD1-BB73-64988E15E7F8}"/>
    <cellStyle name="Normal 2 4 5 4 6 2 3" xfId="23657" xr:uid="{52D66360-CF3E-4102-ADFB-92C3D84CFFCD}"/>
    <cellStyle name="Normal 2 4 5 4 6 3" xfId="10999" xr:uid="{DFE247F0-197F-43B2-A3DE-01CFA3CB5F88}"/>
    <cellStyle name="Normal 2 4 5 4 6 4" xfId="19440" xr:uid="{E1A66558-2715-444E-95F5-1BA69BCBC288}"/>
    <cellStyle name="Normal 2 4 5 4 7" xfId="4701" xr:uid="{00000000-0005-0000-0000-0000C1100000}"/>
    <cellStyle name="Normal 2 4 5 4 7 2" xfId="13151" xr:uid="{200B0CB1-982B-43CF-A260-C96047A4FBF8}"/>
    <cellStyle name="Normal 2 4 5 4 7 3" xfId="21591" xr:uid="{885F5896-B92F-41FA-B201-61B67E4A2070}"/>
    <cellStyle name="Normal 2 4 5 4 8" xfId="8933" xr:uid="{48D7D62A-B65A-4E1A-9F41-3B0215F3427F}"/>
    <cellStyle name="Normal 2 4 5 4 9" xfId="17374" xr:uid="{A0B75078-34FC-44DF-8FE8-0F80B1697307}"/>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24261A94-6040-47ED-8290-7B40F91C9433}"/>
    <cellStyle name="Normal 2 4 5 5 2 2 3" xfId="24143" xr:uid="{A6D3A91C-DDBD-40D8-8A11-F440A8214763}"/>
    <cellStyle name="Normal 2 4 5 5 2 3" xfId="11485" xr:uid="{D7ACFF53-CC5E-437F-AD12-91340899F20B}"/>
    <cellStyle name="Normal 2 4 5 5 2 4" xfId="19926" xr:uid="{F1356DE4-5FD6-4054-9184-0BD9E3DF6223}"/>
    <cellStyle name="Normal 2 4 5 5 3" xfId="5108" xr:uid="{00000000-0005-0000-0000-0000C5100000}"/>
    <cellStyle name="Normal 2 4 5 5 3 2" xfId="13558" xr:uid="{D43D0618-8755-49A8-ABCA-766D78B239E1}"/>
    <cellStyle name="Normal 2 4 5 5 3 3" xfId="21998" xr:uid="{D62EFF32-F3E0-43D2-993A-8082CC6AD005}"/>
    <cellStyle name="Normal 2 4 5 5 4" xfId="9340" xr:uid="{DFC2EF18-7637-4577-A160-3C2B33A23CF3}"/>
    <cellStyle name="Normal 2 4 5 5 5" xfId="17781" xr:uid="{A1D51F75-D9F0-4304-AA1C-9726710A0E45}"/>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CA864918-C36F-462F-8FDE-ABCBAE73EFFD}"/>
    <cellStyle name="Normal 2 4 5 6 2 2 3" xfId="24556" xr:uid="{FD27AA50-9683-4707-B2C0-E2616FF20F77}"/>
    <cellStyle name="Normal 2 4 5 6 2 3" xfId="11898" xr:uid="{BC517C83-25D4-4E7C-9814-95F57E60B38F}"/>
    <cellStyle name="Normal 2 4 5 6 2 4" xfId="20339" xr:uid="{CF3C1A4F-21C2-42A8-A975-9F0BC6C7A1F1}"/>
    <cellStyle name="Normal 2 4 5 6 3" xfId="5521" xr:uid="{00000000-0005-0000-0000-0000C9100000}"/>
    <cellStyle name="Normal 2 4 5 6 3 2" xfId="13971" xr:uid="{5F8FB60A-B91F-455D-A9E0-B1267F0BD189}"/>
    <cellStyle name="Normal 2 4 5 6 3 3" xfId="22411" xr:uid="{CACF19C1-072E-4A56-A066-55C567A8B817}"/>
    <cellStyle name="Normal 2 4 5 6 4" xfId="9753" xr:uid="{02C7F2FE-A2E8-44EF-828B-A06020C3E4D0}"/>
    <cellStyle name="Normal 2 4 5 6 5" xfId="18194" xr:uid="{19F74FCF-92E7-4F40-B1A1-734887900EBA}"/>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B2E831A9-A02B-489D-A0E5-A69BAC811E3D}"/>
    <cellStyle name="Normal 2 4 5 7 2 2 3" xfId="24969" xr:uid="{DBFB13E5-D387-4B99-9151-F83CFE661A0B}"/>
    <cellStyle name="Normal 2 4 5 7 2 3" xfId="12311" xr:uid="{4C4D89FA-E2D0-4752-88D8-F4628045EAE2}"/>
    <cellStyle name="Normal 2 4 5 7 2 4" xfId="20752" xr:uid="{CBE8C611-1CFB-455C-BAD2-41B90133C5AC}"/>
    <cellStyle name="Normal 2 4 5 7 3" xfId="5934" xr:uid="{00000000-0005-0000-0000-0000CD100000}"/>
    <cellStyle name="Normal 2 4 5 7 3 2" xfId="14384" xr:uid="{4B8CBCE1-7883-4B1E-B01F-522B82639D73}"/>
    <cellStyle name="Normal 2 4 5 7 3 3" xfId="22824" xr:uid="{055B1371-317C-4503-9556-D261042F74E1}"/>
    <cellStyle name="Normal 2 4 5 7 4" xfId="10166" xr:uid="{75CCEE25-72EF-47DE-8308-E7B349C95931}"/>
    <cellStyle name="Normal 2 4 5 7 5" xfId="18607" xr:uid="{E4B553B4-BA0C-4543-AB9D-4345CA2DF824}"/>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0DE8D525-8637-4D18-A5DC-659FFC6484CE}"/>
    <cellStyle name="Normal 2 4 5 8 2 2 3" xfId="25382" xr:uid="{6E1C529D-9858-4764-9F9C-C7B92825C8FA}"/>
    <cellStyle name="Normal 2 4 5 8 2 3" xfId="12724" xr:uid="{6CFB740A-462F-4A7D-AF46-C42CF7EFD31E}"/>
    <cellStyle name="Normal 2 4 5 8 2 4" xfId="21165" xr:uid="{53DA518A-1D28-4982-B751-66591ED41E4A}"/>
    <cellStyle name="Normal 2 4 5 8 3" xfId="6347" xr:uid="{00000000-0005-0000-0000-0000D1100000}"/>
    <cellStyle name="Normal 2 4 5 8 3 2" xfId="14797" xr:uid="{DA993C58-17FF-46C6-A748-78EDD3E26FF9}"/>
    <cellStyle name="Normal 2 4 5 8 3 3" xfId="23237" xr:uid="{57514571-F41C-47DF-A68E-4A0CFD49BFE3}"/>
    <cellStyle name="Normal 2 4 5 8 4" xfId="10579" xr:uid="{142C889B-5A70-43DB-A155-546EA6166866}"/>
    <cellStyle name="Normal 2 4 5 8 5" xfId="19020" xr:uid="{8760E66E-0350-432D-B86F-27B034877413}"/>
    <cellStyle name="Normal 2 4 5 9" xfId="2477" xr:uid="{00000000-0005-0000-0000-0000D2100000}"/>
    <cellStyle name="Normal 2 4 5 9 2" xfId="6760" xr:uid="{00000000-0005-0000-0000-0000D3100000}"/>
    <cellStyle name="Normal 2 4 5 9 2 2" xfId="15210" xr:uid="{C526693A-D944-4C9D-AD0B-A31F65266C9C}"/>
    <cellStyle name="Normal 2 4 5 9 2 3" xfId="23650" xr:uid="{BE287B0E-EFD1-4819-889D-F398D94F8314}"/>
    <cellStyle name="Normal 2 4 5 9 3" xfId="10992" xr:uid="{D41AF733-55A1-4AFA-A3B3-2ECEC19FC3EA}"/>
    <cellStyle name="Normal 2 4 5 9 4" xfId="19433" xr:uid="{67603133-DCF5-442C-B754-FB7EB10D7E1F}"/>
    <cellStyle name="Normal 2 4 6" xfId="311" xr:uid="{00000000-0005-0000-0000-0000D4100000}"/>
    <cellStyle name="Normal 2 4 7" xfId="312" xr:uid="{00000000-0005-0000-0000-0000D5100000}"/>
    <cellStyle name="Normal 2 4 7 10" xfId="17375" xr:uid="{02262870-E3D6-4743-8CB3-E0AF22FBBF84}"/>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8ACD5708-D495-48D5-9A53-6A58827E3CCE}"/>
    <cellStyle name="Normal 2 4 7 2 2 2 2 3" xfId="24152" xr:uid="{430729CE-D3B0-413D-BD69-4FB75AC331AB}"/>
    <cellStyle name="Normal 2 4 7 2 2 2 3" xfId="11494" xr:uid="{1A4B7AC0-B8D4-4F39-A75C-4AF465718253}"/>
    <cellStyle name="Normal 2 4 7 2 2 2 4" xfId="19935" xr:uid="{4A0BA51D-3FBF-4BA7-A50F-489D75C5862B}"/>
    <cellStyle name="Normal 2 4 7 2 2 3" xfId="5117" xr:uid="{00000000-0005-0000-0000-0000DA100000}"/>
    <cellStyle name="Normal 2 4 7 2 2 3 2" xfId="13567" xr:uid="{793CF512-DCBC-4F0F-9530-68FDF67E5420}"/>
    <cellStyle name="Normal 2 4 7 2 2 3 3" xfId="22007" xr:uid="{E164650C-2B45-4782-9BBA-A83E4C575CC0}"/>
    <cellStyle name="Normal 2 4 7 2 2 4" xfId="9349" xr:uid="{99E93F30-4EB7-4863-AD14-7846A18B2A7F}"/>
    <cellStyle name="Normal 2 4 7 2 2 5" xfId="17790" xr:uid="{FF97F301-92AA-43C8-AD92-5D95B8CA5199}"/>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EFB7B292-0905-434C-A15D-DE36F1E40AC9}"/>
    <cellStyle name="Normal 2 4 7 2 3 2 2 3" xfId="24565" xr:uid="{4C2C8A74-8D9A-4108-89A7-E088FDC05A97}"/>
    <cellStyle name="Normal 2 4 7 2 3 2 3" xfId="11907" xr:uid="{3D0EB75F-1F95-4159-90AF-04CFCEF215E0}"/>
    <cellStyle name="Normal 2 4 7 2 3 2 4" xfId="20348" xr:uid="{A7000A85-80C7-4230-A7D9-B8AB49A2251F}"/>
    <cellStyle name="Normal 2 4 7 2 3 3" xfId="5530" xr:uid="{00000000-0005-0000-0000-0000DE100000}"/>
    <cellStyle name="Normal 2 4 7 2 3 3 2" xfId="13980" xr:uid="{E25BC5EF-065E-4868-BB0A-EC912C777186}"/>
    <cellStyle name="Normal 2 4 7 2 3 3 3" xfId="22420" xr:uid="{3046D3AF-E8CB-4DC3-BFE3-25C3DAE2304A}"/>
    <cellStyle name="Normal 2 4 7 2 3 4" xfId="9762" xr:uid="{70E82811-A18E-4F87-A019-C9575AE1A152}"/>
    <cellStyle name="Normal 2 4 7 2 3 5" xfId="18203" xr:uid="{C14AD299-9B14-48ED-AB2D-35807404D599}"/>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9B034E70-9A56-4263-945A-DE1CD100C81B}"/>
    <cellStyle name="Normal 2 4 7 2 4 2 2 3" xfId="24978" xr:uid="{1848EA01-C030-47D9-9C59-9E330C293E0B}"/>
    <cellStyle name="Normal 2 4 7 2 4 2 3" xfId="12320" xr:uid="{4DCAA6AB-B311-4EEA-86C3-F5F1577CBBE9}"/>
    <cellStyle name="Normal 2 4 7 2 4 2 4" xfId="20761" xr:uid="{43CE8ECE-7B0D-4DDE-BC41-AC911A2CCEFA}"/>
    <cellStyle name="Normal 2 4 7 2 4 3" xfId="5943" xr:uid="{00000000-0005-0000-0000-0000E2100000}"/>
    <cellStyle name="Normal 2 4 7 2 4 3 2" xfId="14393" xr:uid="{FE0B3ECF-A003-472B-97E1-77D14CEBF0BE}"/>
    <cellStyle name="Normal 2 4 7 2 4 3 3" xfId="22833" xr:uid="{352E663B-ABAE-4645-9ACB-7BDA49B984E6}"/>
    <cellStyle name="Normal 2 4 7 2 4 4" xfId="10175" xr:uid="{3296F82B-1764-4B6B-A26B-3A4110CCE388}"/>
    <cellStyle name="Normal 2 4 7 2 4 5" xfId="18616" xr:uid="{DDB3AEA4-3C72-4C81-90C7-DD65C96EC258}"/>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B0B13F93-D43F-4BF5-ACA9-E5605CDA9B8A}"/>
    <cellStyle name="Normal 2 4 7 2 5 2 2 3" xfId="25391" xr:uid="{62CC2F0D-6AF2-43B5-94BD-67DD754B8B20}"/>
    <cellStyle name="Normal 2 4 7 2 5 2 3" xfId="12733" xr:uid="{98AD352F-D89B-4273-9B36-E9113B4DB92F}"/>
    <cellStyle name="Normal 2 4 7 2 5 2 4" xfId="21174" xr:uid="{0928625E-0A9E-4BAB-82CB-7BC53D416012}"/>
    <cellStyle name="Normal 2 4 7 2 5 3" xfId="6356" xr:uid="{00000000-0005-0000-0000-0000E6100000}"/>
    <cellStyle name="Normal 2 4 7 2 5 3 2" xfId="14806" xr:uid="{6F3BE2DF-A7E1-41FC-95A6-2D7DDEE73EFC}"/>
    <cellStyle name="Normal 2 4 7 2 5 3 3" xfId="23246" xr:uid="{D7210ECF-CBBD-4B91-A47E-E9666C2DDC20}"/>
    <cellStyle name="Normal 2 4 7 2 5 4" xfId="10588" xr:uid="{DBF4D4AD-799D-4636-AD3A-E3BCD94A5FB6}"/>
    <cellStyle name="Normal 2 4 7 2 5 5" xfId="19029" xr:uid="{9679FC6F-B5BA-45CA-8D4F-56A403332495}"/>
    <cellStyle name="Normal 2 4 7 2 6" xfId="2486" xr:uid="{00000000-0005-0000-0000-0000E7100000}"/>
    <cellStyle name="Normal 2 4 7 2 6 2" xfId="6769" xr:uid="{00000000-0005-0000-0000-0000E8100000}"/>
    <cellStyle name="Normal 2 4 7 2 6 2 2" xfId="15219" xr:uid="{48D0EE56-3391-4136-8DBE-CC90F4D4AD35}"/>
    <cellStyle name="Normal 2 4 7 2 6 2 3" xfId="23659" xr:uid="{3AE44A94-CEFF-41CA-ADC0-C9860AFC143A}"/>
    <cellStyle name="Normal 2 4 7 2 6 3" xfId="11001" xr:uid="{8CBD415B-2BDA-49D0-A274-24EA8DE8D8B8}"/>
    <cellStyle name="Normal 2 4 7 2 6 4" xfId="19442" xr:uid="{42DC7D84-083E-4879-B55F-5EAAB6482A4D}"/>
    <cellStyle name="Normal 2 4 7 2 7" xfId="4703" xr:uid="{00000000-0005-0000-0000-0000E9100000}"/>
    <cellStyle name="Normal 2 4 7 2 7 2" xfId="13153" xr:uid="{9CDEB67B-FC80-45A0-94E2-C7114DF1531D}"/>
    <cellStyle name="Normal 2 4 7 2 7 3" xfId="21593" xr:uid="{8441D618-373C-4A4C-B1ED-C1B5A0C50578}"/>
    <cellStyle name="Normal 2 4 7 2 8" xfId="8935" xr:uid="{AA7704B0-B5B3-455D-ADEC-D835E5A5C784}"/>
    <cellStyle name="Normal 2 4 7 2 9" xfId="17376" xr:uid="{7E4F0AF2-D095-4B90-9320-1D99C7BC476C}"/>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7B97CEA6-E296-408A-8115-69231D54DF31}"/>
    <cellStyle name="Normal 2 4 7 3 2 2 3" xfId="24151" xr:uid="{1E44689A-6F9E-4549-922F-3F4AD78A76CB}"/>
    <cellStyle name="Normal 2 4 7 3 2 3" xfId="11493" xr:uid="{EF70A80D-D4B6-416D-81A0-B76EC9EB0DA7}"/>
    <cellStyle name="Normal 2 4 7 3 2 4" xfId="19934" xr:uid="{83A5A80A-8FC7-49FA-880C-4B568BF2244A}"/>
    <cellStyle name="Normal 2 4 7 3 3" xfId="5116" xr:uid="{00000000-0005-0000-0000-0000ED100000}"/>
    <cellStyle name="Normal 2 4 7 3 3 2" xfId="13566" xr:uid="{DCDB318E-73E5-4741-8AF5-42C91EC6E278}"/>
    <cellStyle name="Normal 2 4 7 3 3 3" xfId="22006" xr:uid="{0172EB05-D457-4BF4-A72B-BB70CF1AA4BC}"/>
    <cellStyle name="Normal 2 4 7 3 4" xfId="9348" xr:uid="{152602AE-C810-43F6-A5AE-74A0EAA9905B}"/>
    <cellStyle name="Normal 2 4 7 3 5" xfId="17789" xr:uid="{6D15D239-B235-4B99-9190-63C4123D60C7}"/>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360A4C35-29FF-4E83-84A9-7DF906F19DCF}"/>
    <cellStyle name="Normal 2 4 7 4 2 2 3" xfId="24564" xr:uid="{0EB9A20D-8860-4EBB-B581-65D472D2384E}"/>
    <cellStyle name="Normal 2 4 7 4 2 3" xfId="11906" xr:uid="{071B9C52-C218-4FF3-B363-9AB4E7475B73}"/>
    <cellStyle name="Normal 2 4 7 4 2 4" xfId="20347" xr:uid="{06884146-D034-447E-9929-3D1468DD3A40}"/>
    <cellStyle name="Normal 2 4 7 4 3" xfId="5529" xr:uid="{00000000-0005-0000-0000-0000F1100000}"/>
    <cellStyle name="Normal 2 4 7 4 3 2" xfId="13979" xr:uid="{61713EF7-CDC9-4BF4-8C11-D3FC225A919F}"/>
    <cellStyle name="Normal 2 4 7 4 3 3" xfId="22419" xr:uid="{EB75AE62-6B27-4E8D-8E23-4D43272CDAB4}"/>
    <cellStyle name="Normal 2 4 7 4 4" xfId="9761" xr:uid="{827F5743-3A47-4A52-A237-5573AF33BA6B}"/>
    <cellStyle name="Normal 2 4 7 4 5" xfId="18202" xr:uid="{FFBDD2F8-C04B-44D5-80EB-24C7189D82DE}"/>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AD1ADEA0-F751-4A75-A619-E8EC8AE08294}"/>
    <cellStyle name="Normal 2 4 7 5 2 2 3" xfId="24977" xr:uid="{422AA592-731C-4ECF-90E8-08EDB0139231}"/>
    <cellStyle name="Normal 2 4 7 5 2 3" xfId="12319" xr:uid="{8312A42D-5E47-4DC0-95BD-30D8F165160F}"/>
    <cellStyle name="Normal 2 4 7 5 2 4" xfId="20760" xr:uid="{87A30D4A-2CA4-4302-8945-1DDF6D0C423E}"/>
    <cellStyle name="Normal 2 4 7 5 3" xfId="5942" xr:uid="{00000000-0005-0000-0000-0000F5100000}"/>
    <cellStyle name="Normal 2 4 7 5 3 2" xfId="14392" xr:uid="{B6816524-7BF8-4029-A4ED-5ED2CA89C54F}"/>
    <cellStyle name="Normal 2 4 7 5 3 3" xfId="22832" xr:uid="{8B805FD4-A0ED-4DCA-9ABE-FE1D96E5EA2A}"/>
    <cellStyle name="Normal 2 4 7 5 4" xfId="10174" xr:uid="{C6E9197B-8558-464E-A2FA-671ADAC440AD}"/>
    <cellStyle name="Normal 2 4 7 5 5" xfId="18615" xr:uid="{D07FC797-9E05-4183-8CA3-707B589C671E}"/>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F335A581-C9F9-48A5-89FA-5606FC2A1273}"/>
    <cellStyle name="Normal 2 4 7 6 2 2 3" xfId="25390" xr:uid="{9664DED2-BF54-4DDE-AE72-F2A4B4A6200C}"/>
    <cellStyle name="Normal 2 4 7 6 2 3" xfId="12732" xr:uid="{AC7CF483-0B01-47D3-B15B-4B0D3F1C239A}"/>
    <cellStyle name="Normal 2 4 7 6 2 4" xfId="21173" xr:uid="{E53EED85-6B7F-4F4A-81D6-E0FD488A8779}"/>
    <cellStyle name="Normal 2 4 7 6 3" xfId="6355" xr:uid="{00000000-0005-0000-0000-0000F9100000}"/>
    <cellStyle name="Normal 2 4 7 6 3 2" xfId="14805" xr:uid="{91A980DF-D604-40EF-828A-BD3E04F82C73}"/>
    <cellStyle name="Normal 2 4 7 6 3 3" xfId="23245" xr:uid="{A2FEF5CA-3ACF-4E8B-8C10-83E09E1A5054}"/>
    <cellStyle name="Normal 2 4 7 6 4" xfId="10587" xr:uid="{7A6E3774-A86A-45E1-98BC-F09B0FF5365B}"/>
    <cellStyle name="Normal 2 4 7 6 5" xfId="19028" xr:uid="{D3393DBC-E122-4850-AAAD-D519B34926B2}"/>
    <cellStyle name="Normal 2 4 7 7" xfId="2485" xr:uid="{00000000-0005-0000-0000-0000FA100000}"/>
    <cellStyle name="Normal 2 4 7 7 2" xfId="6768" xr:uid="{00000000-0005-0000-0000-0000FB100000}"/>
    <cellStyle name="Normal 2 4 7 7 2 2" xfId="15218" xr:uid="{942F0612-4773-49DD-9115-728AEB9B98E1}"/>
    <cellStyle name="Normal 2 4 7 7 2 3" xfId="23658" xr:uid="{7E67C678-6081-43EC-876A-F748F4FD83AD}"/>
    <cellStyle name="Normal 2 4 7 7 3" xfId="11000" xr:uid="{4D77DDBE-AF54-4B7C-BE8C-5DE8E616A724}"/>
    <cellStyle name="Normal 2 4 7 7 4" xfId="19441" xr:uid="{D1882EED-BA76-4C80-9B9A-8D06D2D798F7}"/>
    <cellStyle name="Normal 2 4 7 8" xfId="4702" xr:uid="{00000000-0005-0000-0000-0000FC100000}"/>
    <cellStyle name="Normal 2 4 7 8 2" xfId="13152" xr:uid="{E21710D7-67ED-4B5B-BF5F-DA108F468B8B}"/>
    <cellStyle name="Normal 2 4 7 8 3" xfId="21592" xr:uid="{47CA1DD0-11DA-4A5B-9312-6289AD846956}"/>
    <cellStyle name="Normal 2 4 7 9" xfId="8934" xr:uid="{09BB457F-E2E2-4A30-AA1D-8014B36B2F25}"/>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5E35A023-CD97-4CDC-A24C-263CE12A49CA}"/>
    <cellStyle name="Normal 2 4 8 2 2 2 3" xfId="24153" xr:uid="{4FE6FC8F-892D-4760-AC51-223524175355}"/>
    <cellStyle name="Normal 2 4 8 2 2 3" xfId="11495" xr:uid="{FE9A20A2-854A-4298-BB43-C0C159FFA57D}"/>
    <cellStyle name="Normal 2 4 8 2 2 4" xfId="19936" xr:uid="{586DC59B-FA44-4BD7-A637-0C0F8E6C86B4}"/>
    <cellStyle name="Normal 2 4 8 2 3" xfId="5118" xr:uid="{00000000-0005-0000-0000-000001110000}"/>
    <cellStyle name="Normal 2 4 8 2 3 2" xfId="13568" xr:uid="{842AE3CF-61F3-4DC5-81E1-63D56B4EA383}"/>
    <cellStyle name="Normal 2 4 8 2 3 3" xfId="22008" xr:uid="{D05BE4C1-6A94-4B0D-A452-C0CF3FBC9117}"/>
    <cellStyle name="Normal 2 4 8 2 4" xfId="9350" xr:uid="{0738A1FD-074C-4252-8E12-244A364F0EE1}"/>
    <cellStyle name="Normal 2 4 8 2 5" xfId="17791" xr:uid="{35C7C56A-91A9-489C-B646-2B2DB9353F3C}"/>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1017ACCF-D23D-4A14-BDC8-F550653EF83F}"/>
    <cellStyle name="Normal 2 4 8 3 2 2 3" xfId="24566" xr:uid="{AA8F4337-F90A-45A4-BEF5-0C4D10D2A898}"/>
    <cellStyle name="Normal 2 4 8 3 2 3" xfId="11908" xr:uid="{7E742A2A-DF54-45E9-A1DB-B0714E5452BB}"/>
    <cellStyle name="Normal 2 4 8 3 2 4" xfId="20349" xr:uid="{26D380FB-E72C-49F3-9817-0E4CFBE7C4E5}"/>
    <cellStyle name="Normal 2 4 8 3 3" xfId="5531" xr:uid="{00000000-0005-0000-0000-000005110000}"/>
    <cellStyle name="Normal 2 4 8 3 3 2" xfId="13981" xr:uid="{7059A700-05E0-455B-8C25-250BC5F27EB9}"/>
    <cellStyle name="Normal 2 4 8 3 3 3" xfId="22421" xr:uid="{69E46E21-962E-4495-848B-7AA8C333E153}"/>
    <cellStyle name="Normal 2 4 8 3 4" xfId="9763" xr:uid="{F78B06C4-6EBB-4508-B301-31E5679252DA}"/>
    <cellStyle name="Normal 2 4 8 3 5" xfId="18204" xr:uid="{F298ACA6-38E6-42E5-948C-BE00178186A2}"/>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1E050E36-8BC6-4CC5-9E0F-E078B9A98246}"/>
    <cellStyle name="Normal 2 4 8 4 2 2 3" xfId="24979" xr:uid="{0D2E9D01-3F79-4DE7-889F-D0D0C9808FE9}"/>
    <cellStyle name="Normal 2 4 8 4 2 3" xfId="12321" xr:uid="{9388ABFD-9262-4145-8521-BE37B56BF70E}"/>
    <cellStyle name="Normal 2 4 8 4 2 4" xfId="20762" xr:uid="{4E87A686-5DAD-4B00-B5A7-D618E372BE4C}"/>
    <cellStyle name="Normal 2 4 8 4 3" xfId="5944" xr:uid="{00000000-0005-0000-0000-000009110000}"/>
    <cellStyle name="Normal 2 4 8 4 3 2" xfId="14394" xr:uid="{D2F3A60E-3D16-4430-9CFF-5D9678005699}"/>
    <cellStyle name="Normal 2 4 8 4 3 3" xfId="22834" xr:uid="{A975B288-308E-4AB0-B6FA-A880F6CBA9B9}"/>
    <cellStyle name="Normal 2 4 8 4 4" xfId="10176" xr:uid="{7F874BBB-B976-48EE-B0C6-0C12B59B2134}"/>
    <cellStyle name="Normal 2 4 8 4 5" xfId="18617" xr:uid="{70251ED5-2B16-4735-B3C4-D6C7833487C4}"/>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867FEBA9-7DF4-470B-8CDF-9A0B6DCA5768}"/>
    <cellStyle name="Normal 2 4 8 5 2 2 3" xfId="25392" xr:uid="{0F63ED90-741B-4524-98E9-AEC22828C1C7}"/>
    <cellStyle name="Normal 2 4 8 5 2 3" xfId="12734" xr:uid="{B44B8B9A-9D8C-4387-927B-D412A363BB79}"/>
    <cellStyle name="Normal 2 4 8 5 2 4" xfId="21175" xr:uid="{2F427EC5-D78C-4A63-8421-41F71E5FB033}"/>
    <cellStyle name="Normal 2 4 8 5 3" xfId="6357" xr:uid="{00000000-0005-0000-0000-00000D110000}"/>
    <cellStyle name="Normal 2 4 8 5 3 2" xfId="14807" xr:uid="{9438E25A-B96A-4CBC-A622-4F7C3FE2057C}"/>
    <cellStyle name="Normal 2 4 8 5 3 3" xfId="23247" xr:uid="{FF98CAC9-91EE-450E-A19A-82A63100422E}"/>
    <cellStyle name="Normal 2 4 8 5 4" xfId="10589" xr:uid="{08F0F45A-0005-46D4-85A2-6F575DFDE07F}"/>
    <cellStyle name="Normal 2 4 8 5 5" xfId="19030" xr:uid="{C0A7C839-3A5C-45AE-9ECF-4A0AEF14E85E}"/>
    <cellStyle name="Normal 2 4 8 6" xfId="2487" xr:uid="{00000000-0005-0000-0000-00000E110000}"/>
    <cellStyle name="Normal 2 4 8 6 2" xfId="6770" xr:uid="{00000000-0005-0000-0000-00000F110000}"/>
    <cellStyle name="Normal 2 4 8 6 2 2" xfId="15220" xr:uid="{5F8A25F6-F85C-4461-ABF5-133C950B9490}"/>
    <cellStyle name="Normal 2 4 8 6 2 3" xfId="23660" xr:uid="{5B24CB4D-8E35-4F0E-959A-BA252906D407}"/>
    <cellStyle name="Normal 2 4 8 6 3" xfId="11002" xr:uid="{9EE18122-ECAE-4BE2-B00F-D6A4E264F59E}"/>
    <cellStyle name="Normal 2 4 8 6 4" xfId="19443" xr:uid="{904DC637-9C53-4FAC-9237-2D214324361D}"/>
    <cellStyle name="Normal 2 4 8 7" xfId="4704" xr:uid="{00000000-0005-0000-0000-000010110000}"/>
    <cellStyle name="Normal 2 4 8 7 2" xfId="13154" xr:uid="{3DCC3F58-ED47-4726-9EAF-E48C1FA048CF}"/>
    <cellStyle name="Normal 2 4 8 7 3" xfId="21594" xr:uid="{FFE9CBE0-789B-408F-AEE7-14F4FCD70B51}"/>
    <cellStyle name="Normal 2 4 8 8" xfId="8936" xr:uid="{2F3E9975-3CC9-43B7-BDDE-F1F7425A42EE}"/>
    <cellStyle name="Normal 2 4 8 9" xfId="17377" xr:uid="{9110019A-0295-4EDB-9B26-1DAEFD7779C3}"/>
    <cellStyle name="Normal 2 5" xfId="315" xr:uid="{00000000-0005-0000-0000-000011110000}"/>
    <cellStyle name="Normal 2 5 10" xfId="4705" xr:uid="{00000000-0005-0000-0000-000012110000}"/>
    <cellStyle name="Normal 2 5 10 2" xfId="13155" xr:uid="{CA76331D-3CD4-4E17-BD99-A4976824C1F5}"/>
    <cellStyle name="Normal 2 5 10 3" xfId="21595" xr:uid="{C453BB47-ABD0-486F-AEE3-486883545236}"/>
    <cellStyle name="Normal 2 5 11" xfId="8937" xr:uid="{F398AE52-17DE-47B2-9E66-F47A8FC9F077}"/>
    <cellStyle name="Normal 2 5 12" xfId="17378" xr:uid="{DDA8E655-21EB-4001-85FD-5632C477EB93}"/>
    <cellStyle name="Normal 2 5 2" xfId="316" xr:uid="{00000000-0005-0000-0000-000013110000}"/>
    <cellStyle name="Normal 2 5 3" xfId="317" xr:uid="{00000000-0005-0000-0000-000014110000}"/>
    <cellStyle name="Normal 2 5 4" xfId="318" xr:uid="{00000000-0005-0000-0000-000015110000}"/>
    <cellStyle name="Normal 2 5 4 10" xfId="8938" xr:uid="{070935E4-6E33-40A0-A0C9-2F7281E1B869}"/>
    <cellStyle name="Normal 2 5 4 11" xfId="17379" xr:uid="{F5F50850-06CC-48C2-8071-8BC56B9AA4FB}"/>
    <cellStyle name="Normal 2 5 4 2" xfId="319" xr:uid="{00000000-0005-0000-0000-000016110000}"/>
    <cellStyle name="Normal 2 5 4 2 10" xfId="17380" xr:uid="{D44FB931-8E5D-4809-86F3-81D97D4B3406}"/>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3FD754A1-F85A-426D-A99F-DD4110ED9D7D}"/>
    <cellStyle name="Normal 2 5 4 2 2 2 2 2 3" xfId="24157" xr:uid="{A6E47BA9-6C54-4F77-9665-18758A94ED32}"/>
    <cellStyle name="Normal 2 5 4 2 2 2 2 3" xfId="11499" xr:uid="{492AD8F0-9EF0-4E41-8C16-EBFA66FF9EA2}"/>
    <cellStyle name="Normal 2 5 4 2 2 2 2 4" xfId="19940" xr:uid="{DFAFFE86-CB8F-4C47-9B14-F481BD464B4F}"/>
    <cellStyle name="Normal 2 5 4 2 2 2 3" xfId="5122" xr:uid="{00000000-0005-0000-0000-00001B110000}"/>
    <cellStyle name="Normal 2 5 4 2 2 2 3 2" xfId="13572" xr:uid="{2BE90384-C4A1-4367-8630-7A0522310220}"/>
    <cellStyle name="Normal 2 5 4 2 2 2 3 3" xfId="22012" xr:uid="{86718004-8B5F-4326-8F46-E140A3BB478B}"/>
    <cellStyle name="Normal 2 5 4 2 2 2 4" xfId="9354" xr:uid="{AD3EF446-BB52-4C8F-B9BB-702213650589}"/>
    <cellStyle name="Normal 2 5 4 2 2 2 5" xfId="17795" xr:uid="{AE83FCB4-7322-4181-A7B2-89D92917179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D6EA01DE-BE0C-47A9-AD7F-22052F63EC8F}"/>
    <cellStyle name="Normal 2 5 4 2 2 3 2 2 3" xfId="24570" xr:uid="{758B0077-164D-46C0-9397-00432F6B9F54}"/>
    <cellStyle name="Normal 2 5 4 2 2 3 2 3" xfId="11912" xr:uid="{8183A7E4-5467-4ABD-9580-397BBAA84753}"/>
    <cellStyle name="Normal 2 5 4 2 2 3 2 4" xfId="20353" xr:uid="{EF9182EE-6F1E-45D5-9754-F3168D2EBF08}"/>
    <cellStyle name="Normal 2 5 4 2 2 3 3" xfId="5535" xr:uid="{00000000-0005-0000-0000-00001F110000}"/>
    <cellStyle name="Normal 2 5 4 2 2 3 3 2" xfId="13985" xr:uid="{997EA366-36B9-4833-B307-AA8F76E6FB5D}"/>
    <cellStyle name="Normal 2 5 4 2 2 3 3 3" xfId="22425" xr:uid="{DD0E3266-A524-4625-AACD-74BB427D127D}"/>
    <cellStyle name="Normal 2 5 4 2 2 3 4" xfId="9767" xr:uid="{06B8C47F-A563-4A37-B62E-CFF599CD98A2}"/>
    <cellStyle name="Normal 2 5 4 2 2 3 5" xfId="18208" xr:uid="{9FF53515-3066-4C6A-8A79-359FF1364441}"/>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330E7E6E-BE81-4701-92F1-4F03125BCEE7}"/>
    <cellStyle name="Normal 2 5 4 2 2 4 2 2 3" xfId="24983" xr:uid="{560CB113-8B1F-45A0-9367-B045ADF07CBC}"/>
    <cellStyle name="Normal 2 5 4 2 2 4 2 3" xfId="12325" xr:uid="{71D64624-E7D8-4FA0-BDE2-11629A6D5B52}"/>
    <cellStyle name="Normal 2 5 4 2 2 4 2 4" xfId="20766" xr:uid="{7BE62052-28AA-4229-978C-2C85D0BFB9B1}"/>
    <cellStyle name="Normal 2 5 4 2 2 4 3" xfId="5948" xr:uid="{00000000-0005-0000-0000-000023110000}"/>
    <cellStyle name="Normal 2 5 4 2 2 4 3 2" xfId="14398" xr:uid="{1A6F0B52-02AF-461F-B8F5-6093C54EE040}"/>
    <cellStyle name="Normal 2 5 4 2 2 4 3 3" xfId="22838" xr:uid="{D46B7F30-27DB-44B5-9F0E-072857E24AD3}"/>
    <cellStyle name="Normal 2 5 4 2 2 4 4" xfId="10180" xr:uid="{4EDBC899-A266-4861-9E7A-417FF17BD6E5}"/>
    <cellStyle name="Normal 2 5 4 2 2 4 5" xfId="18621" xr:uid="{D39E2F25-5A22-4DAB-81A5-C6D95A2E4A4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A477346-EF23-4AFC-A8A2-B22BFD2E25C7}"/>
    <cellStyle name="Normal 2 5 4 2 2 5 2 2 3" xfId="25396" xr:uid="{FE16CBB6-7204-4C62-800A-2A2B79A1969B}"/>
    <cellStyle name="Normal 2 5 4 2 2 5 2 3" xfId="12738" xr:uid="{86EE7F6C-8445-4C7E-9093-486B301B8163}"/>
    <cellStyle name="Normal 2 5 4 2 2 5 2 4" xfId="21179" xr:uid="{F730A656-1FEB-466B-9A81-65CBB7072064}"/>
    <cellStyle name="Normal 2 5 4 2 2 5 3" xfId="6361" xr:uid="{00000000-0005-0000-0000-000027110000}"/>
    <cellStyle name="Normal 2 5 4 2 2 5 3 2" xfId="14811" xr:uid="{E08351BA-5260-4D9F-973D-F93FBAC6C824}"/>
    <cellStyle name="Normal 2 5 4 2 2 5 3 3" xfId="23251" xr:uid="{0C1FC5A6-CB1E-4E6B-93D2-C6D6C7C87D3A}"/>
    <cellStyle name="Normal 2 5 4 2 2 5 4" xfId="10593" xr:uid="{22F3DB7B-1E9E-4A06-8E29-D3612F7BCCF7}"/>
    <cellStyle name="Normal 2 5 4 2 2 5 5" xfId="19034" xr:uid="{5315B8F5-55DF-4A6B-ABBB-334E47B89277}"/>
    <cellStyle name="Normal 2 5 4 2 2 6" xfId="2491" xr:uid="{00000000-0005-0000-0000-000028110000}"/>
    <cellStyle name="Normal 2 5 4 2 2 6 2" xfId="6774" xr:uid="{00000000-0005-0000-0000-000029110000}"/>
    <cellStyle name="Normal 2 5 4 2 2 6 2 2" xfId="15224" xr:uid="{88B612C4-3D3F-4439-94F5-1DBE57E779B5}"/>
    <cellStyle name="Normal 2 5 4 2 2 6 2 3" xfId="23664" xr:uid="{F15877A2-98EA-481E-8462-E58A5A6275CF}"/>
    <cellStyle name="Normal 2 5 4 2 2 6 3" xfId="11006" xr:uid="{8F486A53-E31A-476D-93E6-7393B3FFEAAB}"/>
    <cellStyle name="Normal 2 5 4 2 2 6 4" xfId="19447" xr:uid="{0DE334EE-9AFD-4EEB-8321-E20656A61A79}"/>
    <cellStyle name="Normal 2 5 4 2 2 7" xfId="4708" xr:uid="{00000000-0005-0000-0000-00002A110000}"/>
    <cellStyle name="Normal 2 5 4 2 2 7 2" xfId="13158" xr:uid="{95EE8EB6-CE49-43A7-AB95-A1EF27BD9D3C}"/>
    <cellStyle name="Normal 2 5 4 2 2 7 3" xfId="21598" xr:uid="{B4AB3819-C550-40AA-B0F0-977A2F185775}"/>
    <cellStyle name="Normal 2 5 4 2 2 8" xfId="8940" xr:uid="{9F903F16-C85A-4EBA-8486-E3EE4C3BCEDD}"/>
    <cellStyle name="Normal 2 5 4 2 2 9" xfId="17381" xr:uid="{E5CC1625-03C1-401C-B04D-97DA90B952D0}"/>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AE7967AE-A23A-4C04-B3D8-E7745E0CE435}"/>
    <cellStyle name="Normal 2 5 4 2 3 2 2 3" xfId="24156" xr:uid="{B7500953-D768-4B49-9681-08E58D94F8D9}"/>
    <cellStyle name="Normal 2 5 4 2 3 2 3" xfId="11498" xr:uid="{8BDEAC9B-CEBE-4305-BE0B-3D17B93639AB}"/>
    <cellStyle name="Normal 2 5 4 2 3 2 4" xfId="19939" xr:uid="{22A61EDD-2E5D-4498-80C6-AA4DEBFBF813}"/>
    <cellStyle name="Normal 2 5 4 2 3 3" xfId="5121" xr:uid="{00000000-0005-0000-0000-00002E110000}"/>
    <cellStyle name="Normal 2 5 4 2 3 3 2" xfId="13571" xr:uid="{56555882-4EC5-4D82-A8D0-7AA10251E80A}"/>
    <cellStyle name="Normal 2 5 4 2 3 3 3" xfId="22011" xr:uid="{DC3C9FBE-2DD0-41EB-8F33-AD6026CA4D42}"/>
    <cellStyle name="Normal 2 5 4 2 3 4" xfId="9353" xr:uid="{1DE33DCA-7D15-42C7-ABB5-D169C7D7D37A}"/>
    <cellStyle name="Normal 2 5 4 2 3 5" xfId="17794" xr:uid="{CF951996-6832-4C24-83B2-9EFC1C25A273}"/>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FFB3BBB0-D362-4130-99BB-769F8448464A}"/>
    <cellStyle name="Normal 2 5 4 2 4 2 2 3" xfId="24569" xr:uid="{EA1A73E3-27B6-497F-AC59-0F01E5B7DC2D}"/>
    <cellStyle name="Normal 2 5 4 2 4 2 3" xfId="11911" xr:uid="{26D76A15-370A-4E08-928C-B136CDE0E040}"/>
    <cellStyle name="Normal 2 5 4 2 4 2 4" xfId="20352" xr:uid="{6A079867-BD05-48A1-9BE6-A500B0F444A8}"/>
    <cellStyle name="Normal 2 5 4 2 4 3" xfId="5534" xr:uid="{00000000-0005-0000-0000-000032110000}"/>
    <cellStyle name="Normal 2 5 4 2 4 3 2" xfId="13984" xr:uid="{C9A25825-638E-4850-B82B-52C84767F567}"/>
    <cellStyle name="Normal 2 5 4 2 4 3 3" xfId="22424" xr:uid="{3928B133-9CB7-4906-A8B0-7A7252EF7C52}"/>
    <cellStyle name="Normal 2 5 4 2 4 4" xfId="9766" xr:uid="{87065B3A-1D22-4705-B315-0CC6688CB653}"/>
    <cellStyle name="Normal 2 5 4 2 4 5" xfId="18207" xr:uid="{9130DFF9-4538-47E8-9F1B-87465B8060E0}"/>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71A3F8A2-304B-45AB-874B-F791CA0196EC}"/>
    <cellStyle name="Normal 2 5 4 2 5 2 2 3" xfId="24982" xr:uid="{09D88D70-7FB3-48CC-951A-648095B67C8F}"/>
    <cellStyle name="Normal 2 5 4 2 5 2 3" xfId="12324" xr:uid="{ECA50F0D-5DD6-4786-9661-DEF2D9C6ECC4}"/>
    <cellStyle name="Normal 2 5 4 2 5 2 4" xfId="20765" xr:uid="{E0903680-30DC-4C9A-A0DF-CC5747172CD3}"/>
    <cellStyle name="Normal 2 5 4 2 5 3" xfId="5947" xr:uid="{00000000-0005-0000-0000-000036110000}"/>
    <cellStyle name="Normal 2 5 4 2 5 3 2" xfId="14397" xr:uid="{E5AA8990-0D19-4AC3-990A-F1B840DA1345}"/>
    <cellStyle name="Normal 2 5 4 2 5 3 3" xfId="22837" xr:uid="{943DF63E-4503-48A2-B7EC-296EB878EF07}"/>
    <cellStyle name="Normal 2 5 4 2 5 4" xfId="10179" xr:uid="{404C4963-65F8-442E-94D2-43CCD1FEF477}"/>
    <cellStyle name="Normal 2 5 4 2 5 5" xfId="18620" xr:uid="{DC2E63DB-F494-45C3-B6C7-1B5A9AC72A47}"/>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FABD4D8F-6730-455E-B573-9DB4A1BDC060}"/>
    <cellStyle name="Normal 2 5 4 2 6 2 2 3" xfId="25395" xr:uid="{2DD03828-C6DE-4EFD-AF52-4F20A4E9416A}"/>
    <cellStyle name="Normal 2 5 4 2 6 2 3" xfId="12737" xr:uid="{4F047F08-1112-4EA8-B01C-C00519E63F4B}"/>
    <cellStyle name="Normal 2 5 4 2 6 2 4" xfId="21178" xr:uid="{40590661-F577-49CF-AF5A-6A1CB5A6441B}"/>
    <cellStyle name="Normal 2 5 4 2 6 3" xfId="6360" xr:uid="{00000000-0005-0000-0000-00003A110000}"/>
    <cellStyle name="Normal 2 5 4 2 6 3 2" xfId="14810" xr:uid="{286144D4-B399-428F-A9DD-BD89A9527FCE}"/>
    <cellStyle name="Normal 2 5 4 2 6 3 3" xfId="23250" xr:uid="{CAF8DD57-4549-4507-98F1-C651B3A2D6A2}"/>
    <cellStyle name="Normal 2 5 4 2 6 4" xfId="10592" xr:uid="{867AECEF-D9A6-4B63-A3B4-63AFB6B186E1}"/>
    <cellStyle name="Normal 2 5 4 2 6 5" xfId="19033" xr:uid="{8AF541CF-2B54-4E91-9551-9245720E0532}"/>
    <cellStyle name="Normal 2 5 4 2 7" xfId="2490" xr:uid="{00000000-0005-0000-0000-00003B110000}"/>
    <cellStyle name="Normal 2 5 4 2 7 2" xfId="6773" xr:uid="{00000000-0005-0000-0000-00003C110000}"/>
    <cellStyle name="Normal 2 5 4 2 7 2 2" xfId="15223" xr:uid="{8361E734-5469-4C58-9EDB-DBBF248C81A7}"/>
    <cellStyle name="Normal 2 5 4 2 7 2 3" xfId="23663" xr:uid="{497DE2C8-032D-4C52-AC23-0ABFA4AFC453}"/>
    <cellStyle name="Normal 2 5 4 2 7 3" xfId="11005" xr:uid="{85CE5098-D041-4D6F-BBA1-D53C3B5073FA}"/>
    <cellStyle name="Normal 2 5 4 2 7 4" xfId="19446" xr:uid="{692B5958-2CBC-4470-9931-B27C993C6A1C}"/>
    <cellStyle name="Normal 2 5 4 2 8" xfId="4707" xr:uid="{00000000-0005-0000-0000-00003D110000}"/>
    <cellStyle name="Normal 2 5 4 2 8 2" xfId="13157" xr:uid="{B3A01353-274E-47F4-AFBF-5AFD6B212F30}"/>
    <cellStyle name="Normal 2 5 4 2 8 3" xfId="21597" xr:uid="{7511F816-5F19-477E-A9BE-924E85A4C1E9}"/>
    <cellStyle name="Normal 2 5 4 2 9" xfId="8939" xr:uid="{307815ED-2CF5-4F52-92AC-F5965D41909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F2266F39-8AB7-420F-B462-8A2812787DF2}"/>
    <cellStyle name="Normal 2 5 4 3 2 2 2 3" xfId="24158" xr:uid="{4CDD68E1-0A5C-45D6-B49F-75084C3F2250}"/>
    <cellStyle name="Normal 2 5 4 3 2 2 3" xfId="11500" xr:uid="{A8CD42A1-8519-4B30-833B-E96D6C161AAD}"/>
    <cellStyle name="Normal 2 5 4 3 2 2 4" xfId="19941" xr:uid="{B24AE208-4C9A-4EEE-AA27-32AE00E29ABA}"/>
    <cellStyle name="Normal 2 5 4 3 2 3" xfId="5123" xr:uid="{00000000-0005-0000-0000-000042110000}"/>
    <cellStyle name="Normal 2 5 4 3 2 3 2" xfId="13573" xr:uid="{4E08B321-5946-4713-9260-7A4C4D91DB97}"/>
    <cellStyle name="Normal 2 5 4 3 2 3 3" xfId="22013" xr:uid="{CEF3B9CC-BA74-4473-B725-9D0DB3EF5FA9}"/>
    <cellStyle name="Normal 2 5 4 3 2 4" xfId="9355" xr:uid="{DEDD7804-6642-4B11-B30A-D7D9FCD556F1}"/>
    <cellStyle name="Normal 2 5 4 3 2 5" xfId="17796" xr:uid="{8CCB6A75-21F6-40BC-91CA-4DA85FB05CB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545CBDD9-8E5F-45FC-886E-BA680BC0764D}"/>
    <cellStyle name="Normal 2 5 4 3 3 2 2 3" xfId="24571" xr:uid="{9B1B5AA5-4289-4F78-B4AB-6809F30AA4BB}"/>
    <cellStyle name="Normal 2 5 4 3 3 2 3" xfId="11913" xr:uid="{2E74E35C-8B4C-484F-B755-6BABA981E0F8}"/>
    <cellStyle name="Normal 2 5 4 3 3 2 4" xfId="20354" xr:uid="{0D97F952-75E9-454E-B32E-EC6CF6375D40}"/>
    <cellStyle name="Normal 2 5 4 3 3 3" xfId="5536" xr:uid="{00000000-0005-0000-0000-000046110000}"/>
    <cellStyle name="Normal 2 5 4 3 3 3 2" xfId="13986" xr:uid="{C1420E67-70D4-4CD4-B894-E89F3198E962}"/>
    <cellStyle name="Normal 2 5 4 3 3 3 3" xfId="22426" xr:uid="{0C744F6A-6BF7-42AC-87C9-4F7673392425}"/>
    <cellStyle name="Normal 2 5 4 3 3 4" xfId="9768" xr:uid="{606459DC-9B3E-44CB-A954-1D047D015BE8}"/>
    <cellStyle name="Normal 2 5 4 3 3 5" xfId="18209" xr:uid="{77CF4881-8B6D-4DA1-A274-A966948C3CC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9B8BC1C9-C17D-47F8-B629-D0403B5DE55A}"/>
    <cellStyle name="Normal 2 5 4 3 4 2 2 3" xfId="24984" xr:uid="{96C0E122-CDBF-481E-9F4F-1495345177D8}"/>
    <cellStyle name="Normal 2 5 4 3 4 2 3" xfId="12326" xr:uid="{5A5ED83F-DCBB-4659-8F76-399D8761C64C}"/>
    <cellStyle name="Normal 2 5 4 3 4 2 4" xfId="20767" xr:uid="{F43A5430-221A-4C82-9E97-42E96661EA0B}"/>
    <cellStyle name="Normal 2 5 4 3 4 3" xfId="5949" xr:uid="{00000000-0005-0000-0000-00004A110000}"/>
    <cellStyle name="Normal 2 5 4 3 4 3 2" xfId="14399" xr:uid="{11B231E4-9DFC-48F4-9118-F530AE9E4F50}"/>
    <cellStyle name="Normal 2 5 4 3 4 3 3" xfId="22839" xr:uid="{B4EA9339-9812-4704-AF7A-24C525D2342C}"/>
    <cellStyle name="Normal 2 5 4 3 4 4" xfId="10181" xr:uid="{26B74286-AF69-4B88-8A1A-79CE909394D6}"/>
    <cellStyle name="Normal 2 5 4 3 4 5" xfId="18622" xr:uid="{16812B06-F607-4AB4-B404-ED97A06A8993}"/>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F23B9E63-058B-4F56-A28C-65A1B4CDB203}"/>
    <cellStyle name="Normal 2 5 4 3 5 2 2 3" xfId="25397" xr:uid="{828599FD-5A9D-4744-AD97-8AEEE3143818}"/>
    <cellStyle name="Normal 2 5 4 3 5 2 3" xfId="12739" xr:uid="{A6992736-E875-405C-8550-5C116BE25ED1}"/>
    <cellStyle name="Normal 2 5 4 3 5 2 4" xfId="21180" xr:uid="{31FB1CAC-F607-45D9-A697-36773FB2BBAA}"/>
    <cellStyle name="Normal 2 5 4 3 5 3" xfId="6362" xr:uid="{00000000-0005-0000-0000-00004E110000}"/>
    <cellStyle name="Normal 2 5 4 3 5 3 2" xfId="14812" xr:uid="{E901E812-4F60-4AEA-BCC9-667AEEA2A52B}"/>
    <cellStyle name="Normal 2 5 4 3 5 3 3" xfId="23252" xr:uid="{2514122A-1436-428E-96CF-9AF139012CD0}"/>
    <cellStyle name="Normal 2 5 4 3 5 4" xfId="10594" xr:uid="{A5FEC9EB-6D41-4185-B2DE-23A557DABF5D}"/>
    <cellStyle name="Normal 2 5 4 3 5 5" xfId="19035" xr:uid="{A55551F0-3818-4206-8434-DFDC4865474D}"/>
    <cellStyle name="Normal 2 5 4 3 6" xfId="2492" xr:uid="{00000000-0005-0000-0000-00004F110000}"/>
    <cellStyle name="Normal 2 5 4 3 6 2" xfId="6775" xr:uid="{00000000-0005-0000-0000-000050110000}"/>
    <cellStyle name="Normal 2 5 4 3 6 2 2" xfId="15225" xr:uid="{EF2EF563-BE4D-4A98-9B69-6102314B2696}"/>
    <cellStyle name="Normal 2 5 4 3 6 2 3" xfId="23665" xr:uid="{B57D49CA-EF7C-439D-9A38-2AB2F9276E56}"/>
    <cellStyle name="Normal 2 5 4 3 6 3" xfId="11007" xr:uid="{0BE7A8E5-318D-41A8-A614-91B5EB8D88C6}"/>
    <cellStyle name="Normal 2 5 4 3 6 4" xfId="19448" xr:uid="{0A5DEAE1-8B80-4891-BFA8-D793CCE895E0}"/>
    <cellStyle name="Normal 2 5 4 3 7" xfId="4709" xr:uid="{00000000-0005-0000-0000-000051110000}"/>
    <cellStyle name="Normal 2 5 4 3 7 2" xfId="13159" xr:uid="{568C290E-A429-4FC6-A87C-CA2700A876F9}"/>
    <cellStyle name="Normal 2 5 4 3 7 3" xfId="21599" xr:uid="{874BA665-305C-4CC2-9BE3-766BE3AAE1DA}"/>
    <cellStyle name="Normal 2 5 4 3 8" xfId="8941" xr:uid="{AB7BFD87-8045-41BC-95E2-A707DDF8D3C5}"/>
    <cellStyle name="Normal 2 5 4 3 9" xfId="17382" xr:uid="{520600DD-DAF7-49B6-A1A1-BB23EE6A69B8}"/>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135F4BE6-BE04-4D09-8280-4E21F85180CE}"/>
    <cellStyle name="Normal 2 5 4 4 2 2 3" xfId="24155" xr:uid="{7E812678-CC98-4B17-8982-FF63B178907B}"/>
    <cellStyle name="Normal 2 5 4 4 2 3" xfId="11497" xr:uid="{FA0DB46B-EB6D-4A41-9D05-EEED0E188AF6}"/>
    <cellStyle name="Normal 2 5 4 4 2 4" xfId="19938" xr:uid="{01FD06D5-474A-4A92-A9E9-0CC5E3D3C764}"/>
    <cellStyle name="Normal 2 5 4 4 3" xfId="5120" xr:uid="{00000000-0005-0000-0000-000055110000}"/>
    <cellStyle name="Normal 2 5 4 4 3 2" xfId="13570" xr:uid="{64CD4AB7-8DCA-42E0-BEFD-138A4273ACDD}"/>
    <cellStyle name="Normal 2 5 4 4 3 3" xfId="22010" xr:uid="{23D3B5BE-2FD3-4189-96C3-17C0D039766E}"/>
    <cellStyle name="Normal 2 5 4 4 4" xfId="9352" xr:uid="{F7F367E4-DC1C-4B87-B525-AA0C037B7D5F}"/>
    <cellStyle name="Normal 2 5 4 4 5" xfId="17793" xr:uid="{F528063E-4AAB-443F-821E-8886625DA3B0}"/>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C5CC1365-60AA-4962-8753-5C72FF095980}"/>
    <cellStyle name="Normal 2 5 4 5 2 2 3" xfId="24568" xr:uid="{32D19CB8-620D-4B9C-93AC-864B86AA2B1B}"/>
    <cellStyle name="Normal 2 5 4 5 2 3" xfId="11910" xr:uid="{23EAF57B-C621-491F-A2AD-42B6A38AF387}"/>
    <cellStyle name="Normal 2 5 4 5 2 4" xfId="20351" xr:uid="{75A0530F-C0C1-4EA8-9749-A57317F4C7D2}"/>
    <cellStyle name="Normal 2 5 4 5 3" xfId="5533" xr:uid="{00000000-0005-0000-0000-000059110000}"/>
    <cellStyle name="Normal 2 5 4 5 3 2" xfId="13983" xr:uid="{3C2C5394-90A9-4547-B145-441065B6B002}"/>
    <cellStyle name="Normal 2 5 4 5 3 3" xfId="22423" xr:uid="{9F2EA4A7-C68E-4558-9859-37273C7A7574}"/>
    <cellStyle name="Normal 2 5 4 5 4" xfId="9765" xr:uid="{C57266F5-5616-46F0-AF3E-137EB9E7CDCD}"/>
    <cellStyle name="Normal 2 5 4 5 5" xfId="18206" xr:uid="{88A06265-B98C-43CE-A90B-B512F93051A1}"/>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0174E667-6BB5-489E-B00B-A80A2B9152A7}"/>
    <cellStyle name="Normal 2 5 4 6 2 2 3" xfId="24981" xr:uid="{BFE95ECA-7921-444B-BC0E-D2A3A921A9CE}"/>
    <cellStyle name="Normal 2 5 4 6 2 3" xfId="12323" xr:uid="{AEB3431B-21F3-4BAD-B8EC-33BBCB00E5F4}"/>
    <cellStyle name="Normal 2 5 4 6 2 4" xfId="20764" xr:uid="{516EBE5D-4564-42E0-BAB5-C376758262D7}"/>
    <cellStyle name="Normal 2 5 4 6 3" xfId="5946" xr:uid="{00000000-0005-0000-0000-00005D110000}"/>
    <cellStyle name="Normal 2 5 4 6 3 2" xfId="14396" xr:uid="{FE797AB8-11BA-45AC-A33C-3AD81CFF4615}"/>
    <cellStyle name="Normal 2 5 4 6 3 3" xfId="22836" xr:uid="{F30A4BFC-22F5-4238-85CD-FDD9C1888F96}"/>
    <cellStyle name="Normal 2 5 4 6 4" xfId="10178" xr:uid="{D9B45B2C-BE3E-4BA5-8288-EEBA036F766F}"/>
    <cellStyle name="Normal 2 5 4 6 5" xfId="18619" xr:uid="{2398AB7D-58FA-47E2-8C8C-D5D31B8DC1A3}"/>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F3147D2C-E602-4CDC-A11A-A499BAE70EEC}"/>
    <cellStyle name="Normal 2 5 4 7 2 2 3" xfId="25394" xr:uid="{0FA20EA5-D5B9-4733-8E03-0CDBAAE1F82D}"/>
    <cellStyle name="Normal 2 5 4 7 2 3" xfId="12736" xr:uid="{E680B964-734B-44E7-9FAF-3E363D898D5C}"/>
    <cellStyle name="Normal 2 5 4 7 2 4" xfId="21177" xr:uid="{2EA45305-C51A-42A6-A910-6F851DAB9684}"/>
    <cellStyle name="Normal 2 5 4 7 3" xfId="6359" xr:uid="{00000000-0005-0000-0000-000061110000}"/>
    <cellStyle name="Normal 2 5 4 7 3 2" xfId="14809" xr:uid="{2158A4C0-A302-47C3-939E-3FE9D3879759}"/>
    <cellStyle name="Normal 2 5 4 7 3 3" xfId="23249" xr:uid="{4D6CE3F7-3473-4F6C-A311-7453855F9C58}"/>
    <cellStyle name="Normal 2 5 4 7 4" xfId="10591" xr:uid="{112DAF2B-3504-44D0-84B1-1F76A6E7FAF1}"/>
    <cellStyle name="Normal 2 5 4 7 5" xfId="19032" xr:uid="{D2E89F0E-D8AB-46D6-94CE-D40B730F8B95}"/>
    <cellStyle name="Normal 2 5 4 8" xfId="2489" xr:uid="{00000000-0005-0000-0000-000062110000}"/>
    <cellStyle name="Normal 2 5 4 8 2" xfId="6772" xr:uid="{00000000-0005-0000-0000-000063110000}"/>
    <cellStyle name="Normal 2 5 4 8 2 2" xfId="15222" xr:uid="{5C098D3B-B230-4E55-A3FD-BCF82D0E91AB}"/>
    <cellStyle name="Normal 2 5 4 8 2 3" xfId="23662" xr:uid="{39D580F9-FA71-401F-A0A8-A81EE7DB033C}"/>
    <cellStyle name="Normal 2 5 4 8 3" xfId="11004" xr:uid="{08E59146-823C-49FC-8225-407955307354}"/>
    <cellStyle name="Normal 2 5 4 8 4" xfId="19445" xr:uid="{F7862DE6-18AF-478E-92B3-FEF4F8B80C33}"/>
    <cellStyle name="Normal 2 5 4 9" xfId="4706" xr:uid="{00000000-0005-0000-0000-000064110000}"/>
    <cellStyle name="Normal 2 5 4 9 2" xfId="13156" xr:uid="{F950BDA3-072D-4E61-B012-2725A7932B2C}"/>
    <cellStyle name="Normal 2 5 4 9 3" xfId="21596" xr:uid="{4AF545A2-64CB-4D57-9798-31D70D622EFB}"/>
    <cellStyle name="Normal 2 5 5" xfId="803" xr:uid="{00000000-0005-0000-0000-000065110000}"/>
    <cellStyle name="Normal 2 5 5 2" xfId="3042" xr:uid="{00000000-0005-0000-0000-000066110000}"/>
    <cellStyle name="Normal 2 5 5 2 2" xfId="7264" xr:uid="{00000000-0005-0000-0000-000067110000}"/>
    <cellStyle name="Normal 2 5 5 2 2 2" xfId="15714" xr:uid="{B0C171D3-79B5-4518-8D1A-1E22CE2DCD67}"/>
    <cellStyle name="Normal 2 5 5 2 2 3" xfId="24154" xr:uid="{C9FEFE2E-C23B-4550-8C91-0B7072CB1E6B}"/>
    <cellStyle name="Normal 2 5 5 2 3" xfId="11496" xr:uid="{15D15761-F480-473D-AABF-2B7B7BD4100B}"/>
    <cellStyle name="Normal 2 5 5 2 4" xfId="19937" xr:uid="{7616A0BA-5B90-4FF0-A8A4-42E0ADA20093}"/>
    <cellStyle name="Normal 2 5 5 3" xfId="5119" xr:uid="{00000000-0005-0000-0000-000068110000}"/>
    <cellStyle name="Normal 2 5 5 3 2" xfId="13569" xr:uid="{A63BD0D6-77BD-476D-B1AD-082AACD696D6}"/>
    <cellStyle name="Normal 2 5 5 3 3" xfId="22009" xr:uid="{0AAC58CB-4F61-4B9C-A6EC-D442FE3996AA}"/>
    <cellStyle name="Normal 2 5 5 4" xfId="9351" xr:uid="{7A6D0DE1-A414-40A2-AE01-D17DF5EBB573}"/>
    <cellStyle name="Normal 2 5 5 5" xfId="17792" xr:uid="{1AE495FE-D8F5-4BA4-806D-8DFEAD01B13C}"/>
    <cellStyle name="Normal 2 5 6" xfId="1225" xr:uid="{00000000-0005-0000-0000-000069110000}"/>
    <cellStyle name="Normal 2 5 6 2" xfId="3455" xr:uid="{00000000-0005-0000-0000-00006A110000}"/>
    <cellStyle name="Normal 2 5 6 2 2" xfId="7677" xr:uid="{00000000-0005-0000-0000-00006B110000}"/>
    <cellStyle name="Normal 2 5 6 2 2 2" xfId="16127" xr:uid="{F3D70634-5C1A-419E-BAA1-094D52CDFAC2}"/>
    <cellStyle name="Normal 2 5 6 2 2 3" xfId="24567" xr:uid="{796DA5DA-0BCC-41E9-B9F5-93D05B81E76C}"/>
    <cellStyle name="Normal 2 5 6 2 3" xfId="11909" xr:uid="{D9ADE81C-1D18-4B9C-9F3A-46D737CA6A0F}"/>
    <cellStyle name="Normal 2 5 6 2 4" xfId="20350" xr:uid="{37F44F39-C7E2-45AC-AEB3-136938BE4BE3}"/>
    <cellStyle name="Normal 2 5 6 3" xfId="5532" xr:uid="{00000000-0005-0000-0000-00006C110000}"/>
    <cellStyle name="Normal 2 5 6 3 2" xfId="13982" xr:uid="{B258FC48-0305-4374-B152-EC0B08278931}"/>
    <cellStyle name="Normal 2 5 6 3 3" xfId="22422" xr:uid="{CD45024E-AAF3-4EC0-BF32-42A7B1CB40C4}"/>
    <cellStyle name="Normal 2 5 6 4" xfId="9764" xr:uid="{5FE5BA6D-23ED-48A6-A1C8-C5880F4012F9}"/>
    <cellStyle name="Normal 2 5 6 5" xfId="18205" xr:uid="{58453A3F-8881-4686-8E4C-1A8D0F78DA83}"/>
    <cellStyle name="Normal 2 5 7" xfId="1638" xr:uid="{00000000-0005-0000-0000-00006D110000}"/>
    <cellStyle name="Normal 2 5 7 2" xfId="3868" xr:uid="{00000000-0005-0000-0000-00006E110000}"/>
    <cellStyle name="Normal 2 5 7 2 2" xfId="8090" xr:uid="{00000000-0005-0000-0000-00006F110000}"/>
    <cellStyle name="Normal 2 5 7 2 2 2" xfId="16540" xr:uid="{9585DBC3-C1C1-4DDB-9509-B3B2936EA28A}"/>
    <cellStyle name="Normal 2 5 7 2 2 3" xfId="24980" xr:uid="{8875DE42-2E8C-4CB6-9F79-C6FDE91ECFF1}"/>
    <cellStyle name="Normal 2 5 7 2 3" xfId="12322" xr:uid="{15286670-C321-4E6D-8ACA-D72822C7CA12}"/>
    <cellStyle name="Normal 2 5 7 2 4" xfId="20763" xr:uid="{5BE15DDD-464C-45A7-8F3D-CECF403608BC}"/>
    <cellStyle name="Normal 2 5 7 3" xfId="5945" xr:uid="{00000000-0005-0000-0000-000070110000}"/>
    <cellStyle name="Normal 2 5 7 3 2" xfId="14395" xr:uid="{4FB4032E-8C13-4D81-9484-9592045B43F6}"/>
    <cellStyle name="Normal 2 5 7 3 3" xfId="22835" xr:uid="{95C49909-E6E2-4739-9176-E035FD1348F8}"/>
    <cellStyle name="Normal 2 5 7 4" xfId="10177" xr:uid="{FAD50416-B1EC-4B2D-8294-4B7180C8DACE}"/>
    <cellStyle name="Normal 2 5 7 5" xfId="18618" xr:uid="{B8401D05-7021-4E7A-858E-1A1C843E7FDC}"/>
    <cellStyle name="Normal 2 5 8" xfId="2052" xr:uid="{00000000-0005-0000-0000-000071110000}"/>
    <cellStyle name="Normal 2 5 8 2" xfId="4281" xr:uid="{00000000-0005-0000-0000-000072110000}"/>
    <cellStyle name="Normal 2 5 8 2 2" xfId="8503" xr:uid="{00000000-0005-0000-0000-000073110000}"/>
    <cellStyle name="Normal 2 5 8 2 2 2" xfId="16953" xr:uid="{3DAA9C88-C0FC-4807-BBB2-A41EFA04D110}"/>
    <cellStyle name="Normal 2 5 8 2 2 3" xfId="25393" xr:uid="{E4AF1C4F-15C6-4782-8708-B76B315F3BE8}"/>
    <cellStyle name="Normal 2 5 8 2 3" xfId="12735" xr:uid="{F6F06EDD-83CA-4C5C-AA34-E55ACEA40581}"/>
    <cellStyle name="Normal 2 5 8 2 4" xfId="21176" xr:uid="{BFF1DBB6-9471-4601-945A-DDD87D7EE8FC}"/>
    <cellStyle name="Normal 2 5 8 3" xfId="6358" xr:uid="{00000000-0005-0000-0000-000074110000}"/>
    <cellStyle name="Normal 2 5 8 3 2" xfId="14808" xr:uid="{F979FA5C-48FA-4FC3-B441-D39E48BB533A}"/>
    <cellStyle name="Normal 2 5 8 3 3" xfId="23248" xr:uid="{2995F631-6A61-42BC-9C84-2F40B58A0A52}"/>
    <cellStyle name="Normal 2 5 8 4" xfId="10590" xr:uid="{91A9F6D4-B424-4DA5-977C-674B70E70A00}"/>
    <cellStyle name="Normal 2 5 8 5" xfId="19031" xr:uid="{2B6141E8-36FD-480D-8661-6469C0D45DCA}"/>
    <cellStyle name="Normal 2 5 9" xfId="2488" xr:uid="{00000000-0005-0000-0000-000075110000}"/>
    <cellStyle name="Normal 2 5 9 2" xfId="6771" xr:uid="{00000000-0005-0000-0000-000076110000}"/>
    <cellStyle name="Normal 2 5 9 2 2" xfId="15221" xr:uid="{EA4D40DF-372C-41F7-8609-D1463E8ADB79}"/>
    <cellStyle name="Normal 2 5 9 2 3" xfId="23661" xr:uid="{F6C2A5F4-7F6D-4047-BFD2-93F1B836B2E6}"/>
    <cellStyle name="Normal 2 5 9 3" xfId="11003" xr:uid="{6E765C99-927C-48AD-9C70-A5DC42F9A97D}"/>
    <cellStyle name="Normal 2 5 9 4" xfId="19444" xr:uid="{6D6B331D-8173-4B2F-9EA7-D640E65A36C0}"/>
    <cellStyle name="Normal 2 6" xfId="322" xr:uid="{00000000-0005-0000-0000-000077110000}"/>
    <cellStyle name="Normal 2 7" xfId="769" xr:uid="{00000000-0005-0000-0000-000078110000}"/>
    <cellStyle name="Normal 2 8" xfId="4495" xr:uid="{00000000-0005-0000-0000-000079110000}"/>
    <cellStyle name="Normal 2 8 2" xfId="12947" xr:uid="{C6E71638-EA90-4ED3-9F89-14F630B37772}"/>
    <cellStyle name="Normal 3" xfId="323" xr:uid="{00000000-0005-0000-0000-00007A110000}"/>
    <cellStyle name="Normal 3 2" xfId="324" xr:uid="{00000000-0005-0000-0000-00007B110000}"/>
    <cellStyle name="Normal 3 2 10" xfId="8942" xr:uid="{39E76EBF-CE2A-4252-8D61-C7A483AA23B3}"/>
    <cellStyle name="Normal 3 2 11" xfId="17383" xr:uid="{BAD7A38A-B2CF-484D-85B1-A23033C817C6}"/>
    <cellStyle name="Normal 3 2 2" xfId="325" xr:uid="{00000000-0005-0000-0000-00007C110000}"/>
    <cellStyle name="Normal 3 2 2 2" xfId="810" xr:uid="{00000000-0005-0000-0000-00007D110000}"/>
    <cellStyle name="Normal 3 2 3" xfId="326" xr:uid="{00000000-0005-0000-0000-00007E110000}"/>
    <cellStyle name="Normal 3 2 3 10" xfId="8943" xr:uid="{D7888864-CEFD-4C54-BD56-404A95963229}"/>
    <cellStyle name="Normal 3 2 3 11" xfId="17384" xr:uid="{FF9590EC-063D-4CEF-A319-A8F267D7F4F1}"/>
    <cellStyle name="Normal 3 2 3 2" xfId="327" xr:uid="{00000000-0005-0000-0000-00007F110000}"/>
    <cellStyle name="Normal 3 2 3 2 10" xfId="17385" xr:uid="{8AFE6294-7D60-49FA-8B85-1477BD20AB5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C22932F-0470-451F-AC0B-DDFA882C4CDB}"/>
    <cellStyle name="Normal 3 2 3 2 2 2 2 2 3" xfId="24162" xr:uid="{F768359E-7F43-4963-AD07-0C8FED33EDBB}"/>
    <cellStyle name="Normal 3 2 3 2 2 2 2 3" xfId="11504" xr:uid="{43777EEA-69D8-4323-9455-D87F5078FE2A}"/>
    <cellStyle name="Normal 3 2 3 2 2 2 2 4" xfId="19945" xr:uid="{748CDBB4-B630-484F-B6D2-A5ACFB8C2C2F}"/>
    <cellStyle name="Normal 3 2 3 2 2 2 3" xfId="5127" xr:uid="{00000000-0005-0000-0000-000084110000}"/>
    <cellStyle name="Normal 3 2 3 2 2 2 3 2" xfId="13577" xr:uid="{293580FB-99B1-49AC-99B4-8243AF8715D5}"/>
    <cellStyle name="Normal 3 2 3 2 2 2 3 3" xfId="22017" xr:uid="{C129EFA5-A39F-478D-98FA-2CAB17AE5528}"/>
    <cellStyle name="Normal 3 2 3 2 2 2 4" xfId="9359" xr:uid="{5FC026A9-7023-4E93-A5AB-B88F6A25F97E}"/>
    <cellStyle name="Normal 3 2 3 2 2 2 5" xfId="17800" xr:uid="{E84D1FA2-7C35-42AE-9C72-3974805E66B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A2044CF7-E04D-46D1-9078-9F92F0B3E14D}"/>
    <cellStyle name="Normal 3 2 3 2 2 3 2 2 3" xfId="24575" xr:uid="{B1E2344D-8460-4A81-A139-A8D4951EE8E0}"/>
    <cellStyle name="Normal 3 2 3 2 2 3 2 3" xfId="11917" xr:uid="{2700D0A9-5CA1-4592-8DAC-58CE64C7425C}"/>
    <cellStyle name="Normal 3 2 3 2 2 3 2 4" xfId="20358" xr:uid="{6035B955-344B-4271-9C60-E0D93BF65909}"/>
    <cellStyle name="Normal 3 2 3 2 2 3 3" xfId="5540" xr:uid="{00000000-0005-0000-0000-000088110000}"/>
    <cellStyle name="Normal 3 2 3 2 2 3 3 2" xfId="13990" xr:uid="{C05F5797-4B29-4B3F-8DD9-5BD639E8038A}"/>
    <cellStyle name="Normal 3 2 3 2 2 3 3 3" xfId="22430" xr:uid="{6D1F1F0C-BF85-4AE7-B3DF-AC3059E41819}"/>
    <cellStyle name="Normal 3 2 3 2 2 3 4" xfId="9772" xr:uid="{20A17C91-54E9-4F33-AA16-62BF71494B6E}"/>
    <cellStyle name="Normal 3 2 3 2 2 3 5" xfId="18213" xr:uid="{5231BEF8-777C-42E4-957F-97B56DA908D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9E41D5F9-2BA6-4361-916E-C64E1FD5C87F}"/>
    <cellStyle name="Normal 3 2 3 2 2 4 2 2 3" xfId="24988" xr:uid="{DB29E805-769B-45C6-9B47-57EB8B4B342D}"/>
    <cellStyle name="Normal 3 2 3 2 2 4 2 3" xfId="12330" xr:uid="{B95598C4-C679-44AD-AAE1-213D27685735}"/>
    <cellStyle name="Normal 3 2 3 2 2 4 2 4" xfId="20771" xr:uid="{8F222222-761A-4990-8D98-8E530CE15F4B}"/>
    <cellStyle name="Normal 3 2 3 2 2 4 3" xfId="5953" xr:uid="{00000000-0005-0000-0000-00008C110000}"/>
    <cellStyle name="Normal 3 2 3 2 2 4 3 2" xfId="14403" xr:uid="{A103F0E3-53E8-4A9D-8740-0E8AF0900747}"/>
    <cellStyle name="Normal 3 2 3 2 2 4 3 3" xfId="22843" xr:uid="{0FC6178C-4578-43DB-B91C-DFC7853AE9F2}"/>
    <cellStyle name="Normal 3 2 3 2 2 4 4" xfId="10185" xr:uid="{4D960780-7CCE-4322-9BD1-F35D01618BE9}"/>
    <cellStyle name="Normal 3 2 3 2 2 4 5" xfId="18626" xr:uid="{209906C4-DD05-4285-8D71-0835F5BFBF6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00120AA9-F343-42AB-9674-DFD2ADDD695F}"/>
    <cellStyle name="Normal 3 2 3 2 2 5 2 2 3" xfId="25401" xr:uid="{C33EE385-4653-435D-A11E-01D9AA2F3912}"/>
    <cellStyle name="Normal 3 2 3 2 2 5 2 3" xfId="12743" xr:uid="{A9EE4119-FF83-4590-B669-64CE4642E6E0}"/>
    <cellStyle name="Normal 3 2 3 2 2 5 2 4" xfId="21184" xr:uid="{120ABB81-EF28-4749-8334-5D3E088FB59A}"/>
    <cellStyle name="Normal 3 2 3 2 2 5 3" xfId="6366" xr:uid="{00000000-0005-0000-0000-000090110000}"/>
    <cellStyle name="Normal 3 2 3 2 2 5 3 2" xfId="14816" xr:uid="{FC4815EB-ADCE-49F5-B55B-7A1EB429503F}"/>
    <cellStyle name="Normal 3 2 3 2 2 5 3 3" xfId="23256" xr:uid="{54EF986E-AEFC-47E1-B92F-213DF0599916}"/>
    <cellStyle name="Normal 3 2 3 2 2 5 4" xfId="10598" xr:uid="{187C154C-9FB8-43A2-B044-E704066F0951}"/>
    <cellStyle name="Normal 3 2 3 2 2 5 5" xfId="19039" xr:uid="{CED9EE17-B443-4015-A17D-301D32E64D45}"/>
    <cellStyle name="Normal 3 2 3 2 2 6" xfId="2496" xr:uid="{00000000-0005-0000-0000-000091110000}"/>
    <cellStyle name="Normal 3 2 3 2 2 6 2" xfId="6779" xr:uid="{00000000-0005-0000-0000-000092110000}"/>
    <cellStyle name="Normal 3 2 3 2 2 6 2 2" xfId="15229" xr:uid="{C6E614C8-8455-4FF1-BD8B-1383A00F511D}"/>
    <cellStyle name="Normal 3 2 3 2 2 6 2 3" xfId="23669" xr:uid="{22890FDF-118A-4DAA-A1DA-2AB0E02E906C}"/>
    <cellStyle name="Normal 3 2 3 2 2 6 3" xfId="11011" xr:uid="{1041EB61-CF99-4329-A037-CED5E4E9745A}"/>
    <cellStyle name="Normal 3 2 3 2 2 6 4" xfId="19452" xr:uid="{88B4078B-1EC5-4282-962B-53F58E905548}"/>
    <cellStyle name="Normal 3 2 3 2 2 7" xfId="4713" xr:uid="{00000000-0005-0000-0000-000093110000}"/>
    <cellStyle name="Normal 3 2 3 2 2 7 2" xfId="13163" xr:uid="{696805BC-E605-460B-A66A-887E6E1EF335}"/>
    <cellStyle name="Normal 3 2 3 2 2 7 3" xfId="21603" xr:uid="{3ED6F4DB-B9C2-421D-8140-4CF91649980A}"/>
    <cellStyle name="Normal 3 2 3 2 2 8" xfId="8945" xr:uid="{23F40235-D69E-4429-BD8B-FBFD8AC03F65}"/>
    <cellStyle name="Normal 3 2 3 2 2 9" xfId="17386" xr:uid="{842A7B67-DACB-4616-8178-6DCF9316A03F}"/>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D5211B54-4A88-4E73-A728-6EA66FF516E5}"/>
    <cellStyle name="Normal 3 2 3 2 3 2 2 3" xfId="24161" xr:uid="{4842D5CE-F8E3-43EE-A90F-78249E6B0CF6}"/>
    <cellStyle name="Normal 3 2 3 2 3 2 3" xfId="11503" xr:uid="{D8ABC831-D9C7-4221-BA28-677F2E77827E}"/>
    <cellStyle name="Normal 3 2 3 2 3 2 4" xfId="19944" xr:uid="{C7CD78C6-F3BE-4EB9-BF44-7C84747A98A8}"/>
    <cellStyle name="Normal 3 2 3 2 3 3" xfId="5126" xr:uid="{00000000-0005-0000-0000-000097110000}"/>
    <cellStyle name="Normal 3 2 3 2 3 3 2" xfId="13576" xr:uid="{FC7AFCCB-48B4-4DE3-89E1-978778CD27BF}"/>
    <cellStyle name="Normal 3 2 3 2 3 3 3" xfId="22016" xr:uid="{88367FD2-7EBB-482C-BDB0-CAA20EFDB703}"/>
    <cellStyle name="Normal 3 2 3 2 3 4" xfId="9358" xr:uid="{37C19B67-75A0-43E0-8CE5-FB3B378D472C}"/>
    <cellStyle name="Normal 3 2 3 2 3 5" xfId="17799" xr:uid="{4283B6C3-8EEC-44EE-8251-8904C693440D}"/>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8BA289D0-BD08-4995-8F77-BB22A8FE1ACB}"/>
    <cellStyle name="Normal 3 2 3 2 4 2 2 3" xfId="24574" xr:uid="{55564E1B-4242-4BD7-B20A-AA293E0110E1}"/>
    <cellStyle name="Normal 3 2 3 2 4 2 3" xfId="11916" xr:uid="{080865AC-870A-4F6D-B842-AE353114364A}"/>
    <cellStyle name="Normal 3 2 3 2 4 2 4" xfId="20357" xr:uid="{B35320E8-B34B-4FE6-A808-AB81F0E44652}"/>
    <cellStyle name="Normal 3 2 3 2 4 3" xfId="5539" xr:uid="{00000000-0005-0000-0000-00009B110000}"/>
    <cellStyle name="Normal 3 2 3 2 4 3 2" xfId="13989" xr:uid="{8778DDF2-65A2-4763-9E26-73E22DE5A345}"/>
    <cellStyle name="Normal 3 2 3 2 4 3 3" xfId="22429" xr:uid="{CA9D995C-E68A-4624-8B4A-FA5BEF552DD8}"/>
    <cellStyle name="Normal 3 2 3 2 4 4" xfId="9771" xr:uid="{9D46908E-F218-41AA-B387-A2B661A9FC89}"/>
    <cellStyle name="Normal 3 2 3 2 4 5" xfId="18212" xr:uid="{77DFC80F-E620-4D58-B8A8-A7013EE1D646}"/>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F2D4E904-7AF1-472C-AF02-4640A9EDB2CC}"/>
    <cellStyle name="Normal 3 2 3 2 5 2 2 3" xfId="24987" xr:uid="{BDF18B6F-F56B-4095-BB37-B65EB2388AA3}"/>
    <cellStyle name="Normal 3 2 3 2 5 2 3" xfId="12329" xr:uid="{6AFF9022-5DB6-4656-9D90-8A224DCD2D0B}"/>
    <cellStyle name="Normal 3 2 3 2 5 2 4" xfId="20770" xr:uid="{C1A9673B-7600-4181-8325-BF58FEB09021}"/>
    <cellStyle name="Normal 3 2 3 2 5 3" xfId="5952" xr:uid="{00000000-0005-0000-0000-00009F110000}"/>
    <cellStyle name="Normal 3 2 3 2 5 3 2" xfId="14402" xr:uid="{D48BD105-C2BD-4D98-9747-C86ED3B682BB}"/>
    <cellStyle name="Normal 3 2 3 2 5 3 3" xfId="22842" xr:uid="{895AB941-58D2-4564-B68B-F31556D45173}"/>
    <cellStyle name="Normal 3 2 3 2 5 4" xfId="10184" xr:uid="{0763CD87-9120-4FD4-92F2-17BBB62C91B5}"/>
    <cellStyle name="Normal 3 2 3 2 5 5" xfId="18625" xr:uid="{3A42A92A-C9A8-4590-A8A6-325EF9DAAF4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174BB635-14C0-4D88-8C27-ADA6D22DDF79}"/>
    <cellStyle name="Normal 3 2 3 2 6 2 2 3" xfId="25400" xr:uid="{962B3C54-CEE6-44C6-BA1F-3EF258C5DFBF}"/>
    <cellStyle name="Normal 3 2 3 2 6 2 3" xfId="12742" xr:uid="{0D92AE6B-8F26-4B32-8B36-DF6DF459ED5A}"/>
    <cellStyle name="Normal 3 2 3 2 6 2 4" xfId="21183" xr:uid="{B4290EC4-1729-406D-8DF8-4F975DD9D0EA}"/>
    <cellStyle name="Normal 3 2 3 2 6 3" xfId="6365" xr:uid="{00000000-0005-0000-0000-0000A3110000}"/>
    <cellStyle name="Normal 3 2 3 2 6 3 2" xfId="14815" xr:uid="{17019844-98F0-4F7C-A5B9-6C3F26955D84}"/>
    <cellStyle name="Normal 3 2 3 2 6 3 3" xfId="23255" xr:uid="{68F10B6C-0313-43BB-9E4C-C1D4290F7BC9}"/>
    <cellStyle name="Normal 3 2 3 2 6 4" xfId="10597" xr:uid="{464BF0BD-6750-4173-AEFC-91777CA9B040}"/>
    <cellStyle name="Normal 3 2 3 2 6 5" xfId="19038" xr:uid="{E9940288-33CF-4BC0-9FFD-4E546A53DD84}"/>
    <cellStyle name="Normal 3 2 3 2 7" xfId="2495" xr:uid="{00000000-0005-0000-0000-0000A4110000}"/>
    <cellStyle name="Normal 3 2 3 2 7 2" xfId="6778" xr:uid="{00000000-0005-0000-0000-0000A5110000}"/>
    <cellStyle name="Normal 3 2 3 2 7 2 2" xfId="15228" xr:uid="{275E0385-BF72-4A91-BF90-2AE285E0F6DD}"/>
    <cellStyle name="Normal 3 2 3 2 7 2 3" xfId="23668" xr:uid="{E4F178A0-F34A-4EEE-AB38-EDBA628712D3}"/>
    <cellStyle name="Normal 3 2 3 2 7 3" xfId="11010" xr:uid="{032B1298-3A21-4AE1-B594-EADEA831171F}"/>
    <cellStyle name="Normal 3 2 3 2 7 4" xfId="19451" xr:uid="{E975068E-0FF8-42EB-9A08-F66B01536E0A}"/>
    <cellStyle name="Normal 3 2 3 2 8" xfId="4712" xr:uid="{00000000-0005-0000-0000-0000A6110000}"/>
    <cellStyle name="Normal 3 2 3 2 8 2" xfId="13162" xr:uid="{E27FCDF3-2772-438B-B2C5-35992F99B885}"/>
    <cellStyle name="Normal 3 2 3 2 8 3" xfId="21602" xr:uid="{7A14ECA2-9BF8-40BF-AC8C-0E4CCB2DE825}"/>
    <cellStyle name="Normal 3 2 3 2 9" xfId="8944" xr:uid="{E786F278-383E-4BF3-A24D-FBEC9DDA0368}"/>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8E06FD29-67C2-419F-8D00-47B6E8C41084}"/>
    <cellStyle name="Normal 3 2 3 3 2 2 2 3" xfId="24163" xr:uid="{06A6E4C9-91B5-4242-90C7-8A98E41A1F86}"/>
    <cellStyle name="Normal 3 2 3 3 2 2 3" xfId="11505" xr:uid="{7443AAEB-30E5-4BBE-9CFD-715962F50F14}"/>
    <cellStyle name="Normal 3 2 3 3 2 2 4" xfId="19946" xr:uid="{CDE75138-0DB7-4A29-9BE3-E5BDC63D243C}"/>
    <cellStyle name="Normal 3 2 3 3 2 3" xfId="5128" xr:uid="{00000000-0005-0000-0000-0000AB110000}"/>
    <cellStyle name="Normal 3 2 3 3 2 3 2" xfId="13578" xr:uid="{0D2A7479-94D4-4BBB-90CA-A3BCA7FD2B33}"/>
    <cellStyle name="Normal 3 2 3 3 2 3 3" xfId="22018" xr:uid="{94B9541E-2F4D-44EA-88EA-ABFA87136DBA}"/>
    <cellStyle name="Normal 3 2 3 3 2 4" xfId="9360" xr:uid="{D29D102E-0217-45CF-8574-B365DABBA06D}"/>
    <cellStyle name="Normal 3 2 3 3 2 5" xfId="17801" xr:uid="{3AA279FE-870A-48B4-A6FA-BE8A2810EAF4}"/>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9976D2CB-443A-4906-A8CB-35604784721F}"/>
    <cellStyle name="Normal 3 2 3 3 3 2 2 3" xfId="24576" xr:uid="{76CA0978-E594-478E-B895-F4F94CC5744D}"/>
    <cellStyle name="Normal 3 2 3 3 3 2 3" xfId="11918" xr:uid="{C6057ED2-8B82-4615-AB7E-2510506975A6}"/>
    <cellStyle name="Normal 3 2 3 3 3 2 4" xfId="20359" xr:uid="{4F8494DD-FA0F-468B-8C9E-AD911696E1C9}"/>
    <cellStyle name="Normal 3 2 3 3 3 3" xfId="5541" xr:uid="{00000000-0005-0000-0000-0000AF110000}"/>
    <cellStyle name="Normal 3 2 3 3 3 3 2" xfId="13991" xr:uid="{9BDCCDBD-4257-405E-83E1-EC8DFE8CFA56}"/>
    <cellStyle name="Normal 3 2 3 3 3 3 3" xfId="22431" xr:uid="{41FB0DB2-E7E9-4CA2-9CCD-0082C9A1CEBE}"/>
    <cellStyle name="Normal 3 2 3 3 3 4" xfId="9773" xr:uid="{4C1636ED-39C0-415F-8061-0CBF394060F4}"/>
    <cellStyle name="Normal 3 2 3 3 3 5" xfId="18214" xr:uid="{664BA90B-9F87-4907-B0C4-33932BD148F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FDA1D441-D308-4C2A-B25C-DCBD3A2D2A2E}"/>
    <cellStyle name="Normal 3 2 3 3 4 2 2 3" xfId="24989" xr:uid="{77B715F6-1C9A-4AF0-9C51-9A2DC9822228}"/>
    <cellStyle name="Normal 3 2 3 3 4 2 3" xfId="12331" xr:uid="{EBFEB143-46D0-49D2-96E5-C4EAB8466727}"/>
    <cellStyle name="Normal 3 2 3 3 4 2 4" xfId="20772" xr:uid="{9AC308BB-07DB-45BA-B459-58B5546FAD64}"/>
    <cellStyle name="Normal 3 2 3 3 4 3" xfId="5954" xr:uid="{00000000-0005-0000-0000-0000B3110000}"/>
    <cellStyle name="Normal 3 2 3 3 4 3 2" xfId="14404" xr:uid="{E84D2EF4-7FD8-4CF3-8080-AF9B2CB79DD9}"/>
    <cellStyle name="Normal 3 2 3 3 4 3 3" xfId="22844" xr:uid="{EB7011C1-B945-4AE7-AAE3-E5CF4EC69754}"/>
    <cellStyle name="Normal 3 2 3 3 4 4" xfId="10186" xr:uid="{BABAD2E5-2ED9-4A5E-91F0-C7A2254A8230}"/>
    <cellStyle name="Normal 3 2 3 3 4 5" xfId="18627" xr:uid="{6DEF2F3F-B5C0-45F0-82E5-ACD781DD720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7CBCBE32-9775-47F9-B321-8A417E4BBE5D}"/>
    <cellStyle name="Normal 3 2 3 3 5 2 2 3" xfId="25402" xr:uid="{5C21362C-032C-44E5-BB35-7E6EF907B789}"/>
    <cellStyle name="Normal 3 2 3 3 5 2 3" xfId="12744" xr:uid="{130F000C-EB9F-4388-89E2-15913FDF668E}"/>
    <cellStyle name="Normal 3 2 3 3 5 2 4" xfId="21185" xr:uid="{C26461E7-4E03-431B-9428-2FC913980740}"/>
    <cellStyle name="Normal 3 2 3 3 5 3" xfId="6367" xr:uid="{00000000-0005-0000-0000-0000B7110000}"/>
    <cellStyle name="Normal 3 2 3 3 5 3 2" xfId="14817" xr:uid="{54E14AF6-F42E-4B4B-8F72-0851AEC922C7}"/>
    <cellStyle name="Normal 3 2 3 3 5 3 3" xfId="23257" xr:uid="{4F6FB3DB-FCA8-4170-931A-072E39D17F0C}"/>
    <cellStyle name="Normal 3 2 3 3 5 4" xfId="10599" xr:uid="{D8B5CD3D-A0B0-4A7E-8F8C-1FC3AE5323A3}"/>
    <cellStyle name="Normal 3 2 3 3 5 5" xfId="19040" xr:uid="{37D7C274-B918-4928-B025-98C83DC4A42A}"/>
    <cellStyle name="Normal 3 2 3 3 6" xfId="2497" xr:uid="{00000000-0005-0000-0000-0000B8110000}"/>
    <cellStyle name="Normal 3 2 3 3 6 2" xfId="6780" xr:uid="{00000000-0005-0000-0000-0000B9110000}"/>
    <cellStyle name="Normal 3 2 3 3 6 2 2" xfId="15230" xr:uid="{3DE9C7D7-07F7-44E2-8B6A-4EB5F160FDCA}"/>
    <cellStyle name="Normal 3 2 3 3 6 2 3" xfId="23670" xr:uid="{F8A7F829-FF2A-46CF-B210-E0EE5D4097BB}"/>
    <cellStyle name="Normal 3 2 3 3 6 3" xfId="11012" xr:uid="{72026437-F4D8-4E08-8B2D-C318538C1A08}"/>
    <cellStyle name="Normal 3 2 3 3 6 4" xfId="19453" xr:uid="{ECA665A1-D214-4686-9496-A52A39BF1B6D}"/>
    <cellStyle name="Normal 3 2 3 3 7" xfId="4714" xr:uid="{00000000-0005-0000-0000-0000BA110000}"/>
    <cellStyle name="Normal 3 2 3 3 7 2" xfId="13164" xr:uid="{30640AD5-AD10-462B-AFA4-E08662B1CD94}"/>
    <cellStyle name="Normal 3 2 3 3 7 3" xfId="21604" xr:uid="{5146926B-F1EB-4237-A2D5-55010BEE93CE}"/>
    <cellStyle name="Normal 3 2 3 3 8" xfId="8946" xr:uid="{2C098E93-A455-4903-9410-676259ABD0D8}"/>
    <cellStyle name="Normal 3 2 3 3 9" xfId="17387" xr:uid="{B836DF38-19E2-4E43-AF52-A14CC320AD8F}"/>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D3917B23-A831-4A9F-A5DC-6779D2A5F88E}"/>
    <cellStyle name="Normal 3 2 3 4 2 2 3" xfId="24160" xr:uid="{B5ACF14D-506B-4196-BF3E-9FE1FF80E0E9}"/>
    <cellStyle name="Normal 3 2 3 4 2 3" xfId="11502" xr:uid="{7ADD384A-2815-4D48-B551-8540DAE31DBC}"/>
    <cellStyle name="Normal 3 2 3 4 2 4" xfId="19943" xr:uid="{2A6EF08A-18A0-493D-A4B5-3AC486948F76}"/>
    <cellStyle name="Normal 3 2 3 4 3" xfId="5125" xr:uid="{00000000-0005-0000-0000-0000BE110000}"/>
    <cellStyle name="Normal 3 2 3 4 3 2" xfId="13575" xr:uid="{F721D666-37DA-4B2F-A6F9-598615238595}"/>
    <cellStyle name="Normal 3 2 3 4 3 3" xfId="22015" xr:uid="{164C7D67-21FA-4047-B996-C03D5EE1C76B}"/>
    <cellStyle name="Normal 3 2 3 4 4" xfId="9357" xr:uid="{8966724F-039B-4ECF-9472-2F658CB32456}"/>
    <cellStyle name="Normal 3 2 3 4 5" xfId="17798" xr:uid="{E64E34DE-0770-4514-A50F-5C8E5DC3D99A}"/>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CF2A46FE-4ECA-4C22-8DD1-9570B4D72C68}"/>
    <cellStyle name="Normal 3 2 3 5 2 2 3" xfId="24573" xr:uid="{8A4D61C7-6379-43B4-83B0-AD7CDE90FE5E}"/>
    <cellStyle name="Normal 3 2 3 5 2 3" xfId="11915" xr:uid="{51A21059-B5AC-4826-8313-253565F722F6}"/>
    <cellStyle name="Normal 3 2 3 5 2 4" xfId="20356" xr:uid="{68083EF4-4B64-47D2-B143-165E29BFE3A7}"/>
    <cellStyle name="Normal 3 2 3 5 3" xfId="5538" xr:uid="{00000000-0005-0000-0000-0000C2110000}"/>
    <cellStyle name="Normal 3 2 3 5 3 2" xfId="13988" xr:uid="{CFBC3711-37ED-4DE0-8F27-01B9257CC6A1}"/>
    <cellStyle name="Normal 3 2 3 5 3 3" xfId="22428" xr:uid="{C57E142D-E53B-43EB-A508-911DCA5808A0}"/>
    <cellStyle name="Normal 3 2 3 5 4" xfId="9770" xr:uid="{93A45536-DE2D-4475-83C1-B05459B211A2}"/>
    <cellStyle name="Normal 3 2 3 5 5" xfId="18211" xr:uid="{A8E7E7B4-DC92-43A3-8028-7E4C654702ED}"/>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1501D235-C952-4500-8610-C91287FFC6B8}"/>
    <cellStyle name="Normal 3 2 3 6 2 2 3" xfId="24986" xr:uid="{7883F3DB-2C8E-418F-8D8F-A0213927F087}"/>
    <cellStyle name="Normal 3 2 3 6 2 3" xfId="12328" xr:uid="{99BC3FEE-B6FB-4236-9F2D-E4773AA31AED}"/>
    <cellStyle name="Normal 3 2 3 6 2 4" xfId="20769" xr:uid="{FCF6AC43-1A85-4A97-A324-1925D26679FA}"/>
    <cellStyle name="Normal 3 2 3 6 3" xfId="5951" xr:uid="{00000000-0005-0000-0000-0000C6110000}"/>
    <cellStyle name="Normal 3 2 3 6 3 2" xfId="14401" xr:uid="{5A7CAC80-074C-464B-86CC-2CB732FB545F}"/>
    <cellStyle name="Normal 3 2 3 6 3 3" xfId="22841" xr:uid="{DF2A5656-0C59-4334-A9FF-383E556E80CB}"/>
    <cellStyle name="Normal 3 2 3 6 4" xfId="10183" xr:uid="{EFC7B7B8-1353-4F73-AA37-F26A1ECFCDFF}"/>
    <cellStyle name="Normal 3 2 3 6 5" xfId="18624" xr:uid="{75882689-528B-45C4-A8D2-4900DE3912D9}"/>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0E5E16F5-938A-470D-8340-8E9859974D74}"/>
    <cellStyle name="Normal 3 2 3 7 2 2 3" xfId="25399" xr:uid="{41B24B11-A8A8-407B-BB10-9986ADBF9276}"/>
    <cellStyle name="Normal 3 2 3 7 2 3" xfId="12741" xr:uid="{17853239-A075-4102-979B-C358A84D56CA}"/>
    <cellStyle name="Normal 3 2 3 7 2 4" xfId="21182" xr:uid="{43D219DF-5FD2-4BA6-BC13-27185C47868D}"/>
    <cellStyle name="Normal 3 2 3 7 3" xfId="6364" xr:uid="{00000000-0005-0000-0000-0000CA110000}"/>
    <cellStyle name="Normal 3 2 3 7 3 2" xfId="14814" xr:uid="{D2C9B2A1-59FB-4A25-B204-105DE6CE03B7}"/>
    <cellStyle name="Normal 3 2 3 7 3 3" xfId="23254" xr:uid="{BED6CA1C-0CA7-4300-86FD-739EA4E6BD5B}"/>
    <cellStyle name="Normal 3 2 3 7 4" xfId="10596" xr:uid="{BE08A967-18A3-4EC6-BCAF-6164135BA361}"/>
    <cellStyle name="Normal 3 2 3 7 5" xfId="19037" xr:uid="{14369E0F-E231-4CA0-8865-B4473EB8399C}"/>
    <cellStyle name="Normal 3 2 3 8" xfId="2494" xr:uid="{00000000-0005-0000-0000-0000CB110000}"/>
    <cellStyle name="Normal 3 2 3 8 2" xfId="6777" xr:uid="{00000000-0005-0000-0000-0000CC110000}"/>
    <cellStyle name="Normal 3 2 3 8 2 2" xfId="15227" xr:uid="{DEB9140B-8001-4397-A986-CA1AA47EF942}"/>
    <cellStyle name="Normal 3 2 3 8 2 3" xfId="23667" xr:uid="{C0968009-7AC2-4A7D-B0A2-3B4DC3644BEC}"/>
    <cellStyle name="Normal 3 2 3 8 3" xfId="11009" xr:uid="{C4A27823-48BC-4BA8-A230-D036A1A3FBBD}"/>
    <cellStyle name="Normal 3 2 3 8 4" xfId="19450" xr:uid="{DAA05C20-42CF-412C-81B8-CFABCC090C5D}"/>
    <cellStyle name="Normal 3 2 3 9" xfId="4711" xr:uid="{00000000-0005-0000-0000-0000CD110000}"/>
    <cellStyle name="Normal 3 2 3 9 2" xfId="13161" xr:uid="{E598CE58-9A40-4E0F-BF76-1CEF57E7A191}"/>
    <cellStyle name="Normal 3 2 3 9 3" xfId="21601" xr:uid="{8BD5F193-240B-4EA3-B533-182A59B78EFC}"/>
    <cellStyle name="Normal 3 2 4" xfId="809" xr:uid="{00000000-0005-0000-0000-0000CE110000}"/>
    <cellStyle name="Normal 3 2 4 2" xfId="3047" xr:uid="{00000000-0005-0000-0000-0000CF110000}"/>
    <cellStyle name="Normal 3 2 4 2 2" xfId="7269" xr:uid="{00000000-0005-0000-0000-0000D0110000}"/>
    <cellStyle name="Normal 3 2 4 2 2 2" xfId="15719" xr:uid="{0A9757AF-9BCA-4ABC-B213-A54A44A67F73}"/>
    <cellStyle name="Normal 3 2 4 2 2 3" xfId="24159" xr:uid="{C361EDCE-C74A-489C-8E74-43B4325D372D}"/>
    <cellStyle name="Normal 3 2 4 2 3" xfId="11501" xr:uid="{6B87A17C-EA0B-414A-8306-F7878D3D60E8}"/>
    <cellStyle name="Normal 3 2 4 2 4" xfId="19942" xr:uid="{9C940A8E-E27C-446D-AF2B-F30029014294}"/>
    <cellStyle name="Normal 3 2 4 3" xfId="5124" xr:uid="{00000000-0005-0000-0000-0000D1110000}"/>
    <cellStyle name="Normal 3 2 4 3 2" xfId="13574" xr:uid="{2F0FC71E-B08D-4B56-9631-2B8D58E44BAF}"/>
    <cellStyle name="Normal 3 2 4 3 3" xfId="22014" xr:uid="{2BE28A5B-7DD3-4468-ABAA-3C8B711811FB}"/>
    <cellStyle name="Normal 3 2 4 4" xfId="9356" xr:uid="{4FF0C795-68D8-4EAD-8097-54D57ADB77E8}"/>
    <cellStyle name="Normal 3 2 4 5" xfId="17797" xr:uid="{2A453177-4D2C-46CA-92E3-C102E1970645}"/>
    <cellStyle name="Normal 3 2 5" xfId="1230" xr:uid="{00000000-0005-0000-0000-0000D2110000}"/>
    <cellStyle name="Normal 3 2 5 2" xfId="3460" xr:uid="{00000000-0005-0000-0000-0000D3110000}"/>
    <cellStyle name="Normal 3 2 5 2 2" xfId="7682" xr:uid="{00000000-0005-0000-0000-0000D4110000}"/>
    <cellStyle name="Normal 3 2 5 2 2 2" xfId="16132" xr:uid="{3D7B97B6-0561-4263-B078-61D8891D4C0F}"/>
    <cellStyle name="Normal 3 2 5 2 2 3" xfId="24572" xr:uid="{7C647C8E-2075-43CC-ADE8-B36252A5837A}"/>
    <cellStyle name="Normal 3 2 5 2 3" xfId="11914" xr:uid="{42DE7272-2BD2-4D77-88C3-B7A5FB17AFB5}"/>
    <cellStyle name="Normal 3 2 5 2 4" xfId="20355" xr:uid="{3961B10C-0615-4317-A1D4-54658AEECFFE}"/>
    <cellStyle name="Normal 3 2 5 3" xfId="5537" xr:uid="{00000000-0005-0000-0000-0000D5110000}"/>
    <cellStyle name="Normal 3 2 5 3 2" xfId="13987" xr:uid="{F6703CD5-2AB5-4EF8-8077-34E6B8DE8377}"/>
    <cellStyle name="Normal 3 2 5 3 3" xfId="22427" xr:uid="{EA6E914F-7865-4DD0-A82B-D6541088518B}"/>
    <cellStyle name="Normal 3 2 5 4" xfId="9769" xr:uid="{A07B077F-2B5B-4303-BE0B-684E0879A9BB}"/>
    <cellStyle name="Normal 3 2 5 5" xfId="18210" xr:uid="{4F1A2316-AEDB-41B2-9C3A-C56E76D5C47E}"/>
    <cellStyle name="Normal 3 2 6" xfId="1643" xr:uid="{00000000-0005-0000-0000-0000D6110000}"/>
    <cellStyle name="Normal 3 2 6 2" xfId="3873" xr:uid="{00000000-0005-0000-0000-0000D7110000}"/>
    <cellStyle name="Normal 3 2 6 2 2" xfId="8095" xr:uid="{00000000-0005-0000-0000-0000D8110000}"/>
    <cellStyle name="Normal 3 2 6 2 2 2" xfId="16545" xr:uid="{967032AC-C52C-40EF-9C33-609FA6D85C0B}"/>
    <cellStyle name="Normal 3 2 6 2 2 3" xfId="24985" xr:uid="{621B584D-0CFE-4C9A-8756-0E56B685C4AE}"/>
    <cellStyle name="Normal 3 2 6 2 3" xfId="12327" xr:uid="{174ECF16-09E5-4E8D-B216-D7AB65E7A320}"/>
    <cellStyle name="Normal 3 2 6 2 4" xfId="20768" xr:uid="{D74F9B3D-BFFB-4052-A4C9-7EA2DEDA5B31}"/>
    <cellStyle name="Normal 3 2 6 3" xfId="5950" xr:uid="{00000000-0005-0000-0000-0000D9110000}"/>
    <cellStyle name="Normal 3 2 6 3 2" xfId="14400" xr:uid="{F775946D-62AD-4685-8698-8FBFB9A8FA86}"/>
    <cellStyle name="Normal 3 2 6 3 3" xfId="22840" xr:uid="{F8FF53E4-9856-415B-94B0-2DAC236D6535}"/>
    <cellStyle name="Normal 3 2 6 4" xfId="10182" xr:uid="{5C401342-FB5D-4226-A867-D26BD7676AF8}"/>
    <cellStyle name="Normal 3 2 6 5" xfId="18623" xr:uid="{B24078A2-1658-4D3E-98CA-5B4598A470D3}"/>
    <cellStyle name="Normal 3 2 7" xfId="2057" xr:uid="{00000000-0005-0000-0000-0000DA110000}"/>
    <cellStyle name="Normal 3 2 7 2" xfId="4286" xr:uid="{00000000-0005-0000-0000-0000DB110000}"/>
    <cellStyle name="Normal 3 2 7 2 2" xfId="8508" xr:uid="{00000000-0005-0000-0000-0000DC110000}"/>
    <cellStyle name="Normal 3 2 7 2 2 2" xfId="16958" xr:uid="{DA804883-A6EB-4E28-AD4A-738FC37BF2EB}"/>
    <cellStyle name="Normal 3 2 7 2 2 3" xfId="25398" xr:uid="{F21DF202-3DE6-4AF6-A8DC-0AF12AEC034C}"/>
    <cellStyle name="Normal 3 2 7 2 3" xfId="12740" xr:uid="{9EDDCB45-614B-4144-BAFE-B19EA0DD0EA6}"/>
    <cellStyle name="Normal 3 2 7 2 4" xfId="21181" xr:uid="{5C1C797E-72DE-4328-90F3-CABD76835F9B}"/>
    <cellStyle name="Normal 3 2 7 3" xfId="6363" xr:uid="{00000000-0005-0000-0000-0000DD110000}"/>
    <cellStyle name="Normal 3 2 7 3 2" xfId="14813" xr:uid="{82A0A5CB-8877-48BE-B4F7-F60B7DAEC5EE}"/>
    <cellStyle name="Normal 3 2 7 3 3" xfId="23253" xr:uid="{8E41CFED-4E4A-494E-90BF-5696E81705E7}"/>
    <cellStyle name="Normal 3 2 7 4" xfId="10595" xr:uid="{714DCE55-4C68-40B7-9557-9948A7293E0A}"/>
    <cellStyle name="Normal 3 2 7 5" xfId="19036" xr:uid="{6E97D724-1384-4212-8128-62320727127D}"/>
    <cellStyle name="Normal 3 2 8" xfId="2493" xr:uid="{00000000-0005-0000-0000-0000DE110000}"/>
    <cellStyle name="Normal 3 2 8 2" xfId="6776" xr:uid="{00000000-0005-0000-0000-0000DF110000}"/>
    <cellStyle name="Normal 3 2 8 2 2" xfId="15226" xr:uid="{5DA5B772-9242-4893-B095-F954DCDDAEF0}"/>
    <cellStyle name="Normal 3 2 8 2 3" xfId="23666" xr:uid="{F57BCA8E-83F2-47C8-A59A-2CDCA9104DE5}"/>
    <cellStyle name="Normal 3 2 8 3" xfId="11008" xr:uid="{52B1587E-F46E-46F1-8787-4FA99F56A76A}"/>
    <cellStyle name="Normal 3 2 8 4" xfId="19449" xr:uid="{7DBF8BD9-3014-41DC-B797-DC0B1BB51DAB}"/>
    <cellStyle name="Normal 3 2 9" xfId="4710" xr:uid="{00000000-0005-0000-0000-0000E0110000}"/>
    <cellStyle name="Normal 3 2 9 2" xfId="13160" xr:uid="{4C51F80A-B44D-4273-90FE-5836327D41F2}"/>
    <cellStyle name="Normal 3 2 9 3" xfId="21600" xr:uid="{C568E13E-9DB8-436A-A63A-0C48E595ED1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744E2180-D2BA-4BD1-9694-C467D4446C1E}"/>
    <cellStyle name="Normal 4 11" xfId="17388" xr:uid="{18BB5944-7B0E-4B1E-B120-1EF39C4D54D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8EE9BFA7-0F00-4192-82BF-F332504439D2}"/>
    <cellStyle name="Normal 4 2 2 10 2 2 3" xfId="25403" xr:uid="{9B03A5B0-2083-4D56-9E81-42B8E1971DC4}"/>
    <cellStyle name="Normal 4 2 2 10 2 3" xfId="12745" xr:uid="{0ADD2BA6-DAA0-4F54-84FD-038C1892C02C}"/>
    <cellStyle name="Normal 4 2 2 10 2 4" xfId="21186" xr:uid="{DBB3691D-AEBB-4356-9B2F-63A93170657C}"/>
    <cellStyle name="Normal 4 2 2 10 3" xfId="6368" xr:uid="{00000000-0005-0000-0000-0000ED110000}"/>
    <cellStyle name="Normal 4 2 2 10 3 2" xfId="14818" xr:uid="{74456490-50D7-411D-AF6E-1F89DB295026}"/>
    <cellStyle name="Normal 4 2 2 10 3 3" xfId="23258" xr:uid="{4C3F2F5A-0F36-42CE-B4CA-88214F284127}"/>
    <cellStyle name="Normal 4 2 2 10 4" xfId="10600" xr:uid="{23EEFCBF-6695-4036-A582-BDF68FFD3631}"/>
    <cellStyle name="Normal 4 2 2 10 5" xfId="19041" xr:uid="{9EA10306-EF8C-4553-9802-689D6D368481}"/>
    <cellStyle name="Normal 4 2 2 11" xfId="2498" xr:uid="{00000000-0005-0000-0000-0000EE110000}"/>
    <cellStyle name="Normal 4 2 2 11 2" xfId="6781" xr:uid="{00000000-0005-0000-0000-0000EF110000}"/>
    <cellStyle name="Normal 4 2 2 11 2 2" xfId="15231" xr:uid="{DBA243D3-E0CC-409C-864D-94BF710502E6}"/>
    <cellStyle name="Normal 4 2 2 11 2 3" xfId="23671" xr:uid="{65FE0471-C989-4C4B-BA23-51D0FD6C6200}"/>
    <cellStyle name="Normal 4 2 2 11 3" xfId="11013" xr:uid="{6D0005B4-E81B-45EC-8E9F-4BAD8C80893E}"/>
    <cellStyle name="Normal 4 2 2 11 4" xfId="19454" xr:uid="{3C8AD315-7BC2-4ECC-B5EE-79011BE470F1}"/>
    <cellStyle name="Normal 4 2 2 12" xfId="4716" xr:uid="{00000000-0005-0000-0000-0000F0110000}"/>
    <cellStyle name="Normal 4 2 2 12 2" xfId="13166" xr:uid="{625D2C2E-E364-4B4A-B770-C1A10A0CE9DC}"/>
    <cellStyle name="Normal 4 2 2 12 3" xfId="21606" xr:uid="{95B119C8-786E-4D75-8ABC-115BAEA5E971}"/>
    <cellStyle name="Normal 4 2 2 13" xfId="8948" xr:uid="{4C6B39D4-0AD3-4BDF-A37F-EA652B20A141}"/>
    <cellStyle name="Normal 4 2 2 14" xfId="17389" xr:uid="{629CA29C-12A4-4E7D-8CC9-AF01A6339468}"/>
    <cellStyle name="Normal 4 2 2 2" xfId="338" xr:uid="{00000000-0005-0000-0000-0000F1110000}"/>
    <cellStyle name="Normal 4 2 2 3" xfId="339" xr:uid="{00000000-0005-0000-0000-0000F2110000}"/>
    <cellStyle name="Normal 4 2 2 3 10" xfId="4717" xr:uid="{00000000-0005-0000-0000-0000F3110000}"/>
    <cellStyle name="Normal 4 2 2 3 10 2" xfId="13167" xr:uid="{2A68BB6C-7E8B-4FB9-8B18-74E44A040C30}"/>
    <cellStyle name="Normal 4 2 2 3 10 3" xfId="21607" xr:uid="{D6ED309D-88AE-4014-A28E-0089DD844E70}"/>
    <cellStyle name="Normal 4 2 2 3 11" xfId="8949" xr:uid="{CCA0E4CC-D6BF-4130-97A0-F70257F14AFE}"/>
    <cellStyle name="Normal 4 2 2 3 12" xfId="17390" xr:uid="{306CE83D-D756-4825-91DF-C280119943F8}"/>
    <cellStyle name="Normal 4 2 2 3 2" xfId="340" xr:uid="{00000000-0005-0000-0000-0000F4110000}"/>
    <cellStyle name="Normal 4 2 2 3 2 10" xfId="8950" xr:uid="{459DC8B1-815E-47BF-9308-294BB3890990}"/>
    <cellStyle name="Normal 4 2 2 3 2 11" xfId="17391" xr:uid="{5B8B1973-CCEF-4917-AAE1-C24C8A96F5B7}"/>
    <cellStyle name="Normal 4 2 2 3 2 2" xfId="341" xr:uid="{00000000-0005-0000-0000-0000F5110000}"/>
    <cellStyle name="Normal 4 2 2 3 2 2 10" xfId="17392" xr:uid="{E9741303-686A-4A14-8379-A9E10E5C5BA4}"/>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08D61F17-1D3E-43D9-A08B-C5FD1D4CF0EF}"/>
    <cellStyle name="Normal 4 2 2 3 2 2 2 2 2 2 3" xfId="24168" xr:uid="{FCD6E73D-92F7-4598-9616-905273C508E3}"/>
    <cellStyle name="Normal 4 2 2 3 2 2 2 2 2 3" xfId="11510" xr:uid="{6562DD38-B424-40DE-9164-0F3C7ADF292B}"/>
    <cellStyle name="Normal 4 2 2 3 2 2 2 2 2 4" xfId="19951" xr:uid="{90CBE749-E525-455B-A8FD-D77AAD78E75F}"/>
    <cellStyle name="Normal 4 2 2 3 2 2 2 2 3" xfId="5133" xr:uid="{00000000-0005-0000-0000-0000FA110000}"/>
    <cellStyle name="Normal 4 2 2 3 2 2 2 2 3 2" xfId="13583" xr:uid="{EDFE8684-6229-4998-B87A-1E083065BBD6}"/>
    <cellStyle name="Normal 4 2 2 3 2 2 2 2 3 3" xfId="22023" xr:uid="{9B5F5D9E-E9A0-4D7E-BBE1-9200848C42B0}"/>
    <cellStyle name="Normal 4 2 2 3 2 2 2 2 4" xfId="9365" xr:uid="{D595EE34-CB2A-4F01-9345-624C03FFBDCA}"/>
    <cellStyle name="Normal 4 2 2 3 2 2 2 2 5" xfId="17806" xr:uid="{2C6A10CA-F484-4054-A7EA-7CFD0B85680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DD2E44C4-47BB-4206-9BC5-23CE29B6DA3E}"/>
    <cellStyle name="Normal 4 2 2 3 2 2 2 3 2 2 3" xfId="24581" xr:uid="{0BAD27DC-94AB-4086-9EE4-73D073D1FA76}"/>
    <cellStyle name="Normal 4 2 2 3 2 2 2 3 2 3" xfId="11923" xr:uid="{7ACF17F7-5193-4762-97EB-AF7FFA26A234}"/>
    <cellStyle name="Normal 4 2 2 3 2 2 2 3 2 4" xfId="20364" xr:uid="{106DF6D8-72A0-43EC-849C-41D7C46FB46F}"/>
    <cellStyle name="Normal 4 2 2 3 2 2 2 3 3" xfId="5546" xr:uid="{00000000-0005-0000-0000-0000FE110000}"/>
    <cellStyle name="Normal 4 2 2 3 2 2 2 3 3 2" xfId="13996" xr:uid="{284EA48D-0905-4B0F-AC3E-93FC210495E1}"/>
    <cellStyle name="Normal 4 2 2 3 2 2 2 3 3 3" xfId="22436" xr:uid="{E801FB02-BB7C-4CFE-8C89-61E35E6C8478}"/>
    <cellStyle name="Normal 4 2 2 3 2 2 2 3 4" xfId="9778" xr:uid="{2BCA712D-F66C-44A2-AB92-8805AC7B8CA3}"/>
    <cellStyle name="Normal 4 2 2 3 2 2 2 3 5" xfId="18219" xr:uid="{670494F0-29C2-459D-8634-8FA44372C55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6BE02661-EE48-4FB9-9D4F-1ACCADC7D26D}"/>
    <cellStyle name="Normal 4 2 2 3 2 2 2 4 2 2 3" xfId="24994" xr:uid="{72FDD4CF-F4B6-4048-B726-3ADD35D4D734}"/>
    <cellStyle name="Normal 4 2 2 3 2 2 2 4 2 3" xfId="12336" xr:uid="{33A34766-BEF9-4D4F-BD38-0E5880C6E9DB}"/>
    <cellStyle name="Normal 4 2 2 3 2 2 2 4 2 4" xfId="20777" xr:uid="{011D721B-8AA2-471D-9149-9E2582EE35A5}"/>
    <cellStyle name="Normal 4 2 2 3 2 2 2 4 3" xfId="5959" xr:uid="{00000000-0005-0000-0000-000002120000}"/>
    <cellStyle name="Normal 4 2 2 3 2 2 2 4 3 2" xfId="14409" xr:uid="{C4C735A7-747B-4172-AA66-37EAA2D23888}"/>
    <cellStyle name="Normal 4 2 2 3 2 2 2 4 3 3" xfId="22849" xr:uid="{F5CFD6EF-C535-455E-A8BB-879EE5D92BF2}"/>
    <cellStyle name="Normal 4 2 2 3 2 2 2 4 4" xfId="10191" xr:uid="{DE0E51A3-2067-4B31-A861-C91B334F4A5C}"/>
    <cellStyle name="Normal 4 2 2 3 2 2 2 4 5" xfId="18632" xr:uid="{A106B19C-6AA8-4C5E-ABDB-3811A0F147A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4A926DFD-0207-43B8-95E8-BDC486194337}"/>
    <cellStyle name="Normal 4 2 2 3 2 2 2 5 2 2 3" xfId="25407" xr:uid="{B134E06D-E3ED-4B66-B76D-0AFD6617F1CB}"/>
    <cellStyle name="Normal 4 2 2 3 2 2 2 5 2 3" xfId="12749" xr:uid="{E2E27B82-27C4-4C9B-A482-4E0215689A03}"/>
    <cellStyle name="Normal 4 2 2 3 2 2 2 5 2 4" xfId="21190" xr:uid="{C25F9825-C0AE-4003-A615-05DBEC016728}"/>
    <cellStyle name="Normal 4 2 2 3 2 2 2 5 3" xfId="6372" xr:uid="{00000000-0005-0000-0000-000006120000}"/>
    <cellStyle name="Normal 4 2 2 3 2 2 2 5 3 2" xfId="14822" xr:uid="{EB86FBFB-580E-450C-B880-A6C82543BF8B}"/>
    <cellStyle name="Normal 4 2 2 3 2 2 2 5 3 3" xfId="23262" xr:uid="{5C58CC5F-B0AC-4577-B23A-91527EAF3E67}"/>
    <cellStyle name="Normal 4 2 2 3 2 2 2 5 4" xfId="10604" xr:uid="{C14DD572-8156-4CEF-8AE2-4AB3F68B0208}"/>
    <cellStyle name="Normal 4 2 2 3 2 2 2 5 5" xfId="19045" xr:uid="{793A093A-D615-4A6F-9DEF-1EB7A34253B7}"/>
    <cellStyle name="Normal 4 2 2 3 2 2 2 6" xfId="2502" xr:uid="{00000000-0005-0000-0000-000007120000}"/>
    <cellStyle name="Normal 4 2 2 3 2 2 2 6 2" xfId="6785" xr:uid="{00000000-0005-0000-0000-000008120000}"/>
    <cellStyle name="Normal 4 2 2 3 2 2 2 6 2 2" xfId="15235" xr:uid="{2F7EA0CE-8C16-47C1-BC89-DF4088D01C6A}"/>
    <cellStyle name="Normal 4 2 2 3 2 2 2 6 2 3" xfId="23675" xr:uid="{450ACA96-8175-42E5-A520-48B0847CD641}"/>
    <cellStyle name="Normal 4 2 2 3 2 2 2 6 3" xfId="11017" xr:uid="{3A8AA70C-508E-4912-9415-BE3E3FF57CBA}"/>
    <cellStyle name="Normal 4 2 2 3 2 2 2 6 4" xfId="19458" xr:uid="{8549D999-D6A2-47ED-A381-A789842DF05D}"/>
    <cellStyle name="Normal 4 2 2 3 2 2 2 7" xfId="4720" xr:uid="{00000000-0005-0000-0000-000009120000}"/>
    <cellStyle name="Normal 4 2 2 3 2 2 2 7 2" xfId="13170" xr:uid="{5BCB56D2-1EA0-4F2F-8C02-03D98DB40AD2}"/>
    <cellStyle name="Normal 4 2 2 3 2 2 2 7 3" xfId="21610" xr:uid="{CAF95F4C-2CBE-46EA-8528-E055F7C06D80}"/>
    <cellStyle name="Normal 4 2 2 3 2 2 2 8" xfId="8952" xr:uid="{86469BAE-C4E9-408C-8441-3CB888DDEDD6}"/>
    <cellStyle name="Normal 4 2 2 3 2 2 2 9" xfId="17393" xr:uid="{43AD00EF-D59C-4781-AC8B-EB34710E2BEE}"/>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A6C84770-A638-4BC9-B9F0-CC49C15E386D}"/>
    <cellStyle name="Normal 4 2 2 3 2 2 3 2 2 3" xfId="24167" xr:uid="{CC1476FF-D98D-4E37-B0B5-B56C5838CEFE}"/>
    <cellStyle name="Normal 4 2 2 3 2 2 3 2 3" xfId="11509" xr:uid="{E190711B-CA86-411B-9880-F2DFA3DCF889}"/>
    <cellStyle name="Normal 4 2 2 3 2 2 3 2 4" xfId="19950" xr:uid="{7E742F22-4146-46F5-B4EF-AD53FF3158FB}"/>
    <cellStyle name="Normal 4 2 2 3 2 2 3 3" xfId="5132" xr:uid="{00000000-0005-0000-0000-00000D120000}"/>
    <cellStyle name="Normal 4 2 2 3 2 2 3 3 2" xfId="13582" xr:uid="{605B2FB5-763C-4773-8AE6-76BEBC084463}"/>
    <cellStyle name="Normal 4 2 2 3 2 2 3 3 3" xfId="22022" xr:uid="{C8D78A8A-4856-4328-8F46-CC47C74E0AA8}"/>
    <cellStyle name="Normal 4 2 2 3 2 2 3 4" xfId="9364" xr:uid="{7BD5F58F-29DE-467C-81A0-E5E72C7F5F93}"/>
    <cellStyle name="Normal 4 2 2 3 2 2 3 5" xfId="17805" xr:uid="{D7D43905-9197-4F83-8B76-36FDDB6D7F67}"/>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606D0BE1-B569-4967-99A6-EFDB568636BB}"/>
    <cellStyle name="Normal 4 2 2 3 2 2 4 2 2 3" xfId="24580" xr:uid="{D27E344F-2573-40BC-8A22-FF422AD1F8AB}"/>
    <cellStyle name="Normal 4 2 2 3 2 2 4 2 3" xfId="11922" xr:uid="{A8690378-0C83-481A-8610-239029E01FFB}"/>
    <cellStyle name="Normal 4 2 2 3 2 2 4 2 4" xfId="20363" xr:uid="{F9721F7D-D4C6-4113-BBE9-554CD415603E}"/>
    <cellStyle name="Normal 4 2 2 3 2 2 4 3" xfId="5545" xr:uid="{00000000-0005-0000-0000-000011120000}"/>
    <cellStyle name="Normal 4 2 2 3 2 2 4 3 2" xfId="13995" xr:uid="{D93DC73B-2A72-4DBF-82DB-7FDBB17DFF34}"/>
    <cellStyle name="Normal 4 2 2 3 2 2 4 3 3" xfId="22435" xr:uid="{93487AAD-CEA8-4DD8-BA18-91CD8E1F39ED}"/>
    <cellStyle name="Normal 4 2 2 3 2 2 4 4" xfId="9777" xr:uid="{9F44CB6C-D0E5-46CB-932E-4AA166E27A27}"/>
    <cellStyle name="Normal 4 2 2 3 2 2 4 5" xfId="18218" xr:uid="{AD2C7D44-7D88-4AA4-85C2-7DD88B16E0E6}"/>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02FCE6E9-9A57-4911-A3DB-4D11FF0E89A3}"/>
    <cellStyle name="Normal 4 2 2 3 2 2 5 2 2 3" xfId="24993" xr:uid="{B16EE4F5-44B5-4359-A6FD-D3DEE74512C7}"/>
    <cellStyle name="Normal 4 2 2 3 2 2 5 2 3" xfId="12335" xr:uid="{C9A6B8A4-F114-4BA1-8902-9FC2C3412AF6}"/>
    <cellStyle name="Normal 4 2 2 3 2 2 5 2 4" xfId="20776" xr:uid="{5CEF7D65-45B6-4A60-A8DB-FF5F5DA61496}"/>
    <cellStyle name="Normal 4 2 2 3 2 2 5 3" xfId="5958" xr:uid="{00000000-0005-0000-0000-000015120000}"/>
    <cellStyle name="Normal 4 2 2 3 2 2 5 3 2" xfId="14408" xr:uid="{E8572154-D164-4539-B0CF-803A2AA40E35}"/>
    <cellStyle name="Normal 4 2 2 3 2 2 5 3 3" xfId="22848" xr:uid="{3888DBEB-5F41-4903-9FAE-DC1CFAAF3137}"/>
    <cellStyle name="Normal 4 2 2 3 2 2 5 4" xfId="10190" xr:uid="{E5BAD5C2-5853-448A-9842-A62A4B23C8CA}"/>
    <cellStyle name="Normal 4 2 2 3 2 2 5 5" xfId="18631" xr:uid="{08CF3985-E416-4FB2-922E-E2F445CDD132}"/>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FD4305DF-0E85-48C0-A8C2-C4C5F4F3E713}"/>
    <cellStyle name="Normal 4 2 2 3 2 2 6 2 2 3" xfId="25406" xr:uid="{90830BF9-9B16-4932-B635-F5B72AFE8243}"/>
    <cellStyle name="Normal 4 2 2 3 2 2 6 2 3" xfId="12748" xr:uid="{8B3E2B32-93C0-47D8-8784-16B16ADB60EA}"/>
    <cellStyle name="Normal 4 2 2 3 2 2 6 2 4" xfId="21189" xr:uid="{73C017E4-41C0-4229-9F4A-F9E1317A55D5}"/>
    <cellStyle name="Normal 4 2 2 3 2 2 6 3" xfId="6371" xr:uid="{00000000-0005-0000-0000-000019120000}"/>
    <cellStyle name="Normal 4 2 2 3 2 2 6 3 2" xfId="14821" xr:uid="{A196EF4E-3935-4173-ACE6-7B4BE2B10390}"/>
    <cellStyle name="Normal 4 2 2 3 2 2 6 3 3" xfId="23261" xr:uid="{23D321AC-9474-4D5C-98BC-9069163E53F6}"/>
    <cellStyle name="Normal 4 2 2 3 2 2 6 4" xfId="10603" xr:uid="{10A4644B-C717-4511-ABC8-D79E175CB7A5}"/>
    <cellStyle name="Normal 4 2 2 3 2 2 6 5" xfId="19044" xr:uid="{6C44332D-03EA-49AD-BB6E-2A75960C81F0}"/>
    <cellStyle name="Normal 4 2 2 3 2 2 7" xfId="2501" xr:uid="{00000000-0005-0000-0000-00001A120000}"/>
    <cellStyle name="Normal 4 2 2 3 2 2 7 2" xfId="6784" xr:uid="{00000000-0005-0000-0000-00001B120000}"/>
    <cellStyle name="Normal 4 2 2 3 2 2 7 2 2" xfId="15234" xr:uid="{7FBF7656-A6EC-4BB2-BBCA-78AC1F7B570F}"/>
    <cellStyle name="Normal 4 2 2 3 2 2 7 2 3" xfId="23674" xr:uid="{022106AE-5B9D-4565-AFEB-C5593C8C3AEB}"/>
    <cellStyle name="Normal 4 2 2 3 2 2 7 3" xfId="11016" xr:uid="{94DE68D7-FF6F-47ED-9681-6D2839B35799}"/>
    <cellStyle name="Normal 4 2 2 3 2 2 7 4" xfId="19457" xr:uid="{62C484EA-A44B-407B-9806-C302BA7CB957}"/>
    <cellStyle name="Normal 4 2 2 3 2 2 8" xfId="4719" xr:uid="{00000000-0005-0000-0000-00001C120000}"/>
    <cellStyle name="Normal 4 2 2 3 2 2 8 2" xfId="13169" xr:uid="{ECD4DB01-0F42-4BDD-A963-5A73F7DB6075}"/>
    <cellStyle name="Normal 4 2 2 3 2 2 8 3" xfId="21609" xr:uid="{F0872DB2-01EB-429D-A1EE-6445CE2A3EE8}"/>
    <cellStyle name="Normal 4 2 2 3 2 2 9" xfId="8951" xr:uid="{5EDA0477-CCA0-4D1D-AD71-F52CA115FBD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158FE216-ABE8-4CBC-B9B1-12C094A98E1D}"/>
    <cellStyle name="Normal 4 2 2 3 2 3 2 2 2 3" xfId="24169" xr:uid="{B784C0F9-412A-4CD4-85F0-700C3A57365B}"/>
    <cellStyle name="Normal 4 2 2 3 2 3 2 2 3" xfId="11511" xr:uid="{6BAFF235-E511-4E55-8B56-3822C9543991}"/>
    <cellStyle name="Normal 4 2 2 3 2 3 2 2 4" xfId="19952" xr:uid="{75C92B56-6462-4BA4-8130-9A070EA14467}"/>
    <cellStyle name="Normal 4 2 2 3 2 3 2 3" xfId="5134" xr:uid="{00000000-0005-0000-0000-000021120000}"/>
    <cellStyle name="Normal 4 2 2 3 2 3 2 3 2" xfId="13584" xr:uid="{747A088D-1618-4216-A81A-C4E0BBEDF73B}"/>
    <cellStyle name="Normal 4 2 2 3 2 3 2 3 3" xfId="22024" xr:uid="{F90AD195-2259-4883-8E7F-E7747B82C7F2}"/>
    <cellStyle name="Normal 4 2 2 3 2 3 2 4" xfId="9366" xr:uid="{D751D7CD-24EB-4ED0-BFAC-676600897802}"/>
    <cellStyle name="Normal 4 2 2 3 2 3 2 5" xfId="17807" xr:uid="{1254C423-D712-4A21-89B8-BF3B8E5723E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EFAEECD2-5E1C-4519-A493-CFBE04C777DF}"/>
    <cellStyle name="Normal 4 2 2 3 2 3 3 2 2 3" xfId="24582" xr:uid="{525C4357-1F4F-4A5C-9C6E-01D790C57590}"/>
    <cellStyle name="Normal 4 2 2 3 2 3 3 2 3" xfId="11924" xr:uid="{2215603A-911F-45AB-B67B-B9A4F74E1C37}"/>
    <cellStyle name="Normal 4 2 2 3 2 3 3 2 4" xfId="20365" xr:uid="{4846D6D0-8FD3-43A9-A7F9-15E63EB14FD2}"/>
    <cellStyle name="Normal 4 2 2 3 2 3 3 3" xfId="5547" xr:uid="{00000000-0005-0000-0000-000025120000}"/>
    <cellStyle name="Normal 4 2 2 3 2 3 3 3 2" xfId="13997" xr:uid="{7A53174C-EA59-40AE-B08B-F0B7DB3A4735}"/>
    <cellStyle name="Normal 4 2 2 3 2 3 3 3 3" xfId="22437" xr:uid="{94EE71C8-3D24-40A9-8C1E-EECF2C3511D8}"/>
    <cellStyle name="Normal 4 2 2 3 2 3 3 4" xfId="9779" xr:uid="{2F8B145F-3BF0-444B-BB72-AB2D71713644}"/>
    <cellStyle name="Normal 4 2 2 3 2 3 3 5" xfId="18220" xr:uid="{6930B406-DB7E-4703-AD32-E7336E692A4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7B4E7BB5-441D-42EF-9E29-D47D53BB1AC9}"/>
    <cellStyle name="Normal 4 2 2 3 2 3 4 2 2 3" xfId="24995" xr:uid="{F835D734-8F02-4B13-8C9F-2F3ADE8E1093}"/>
    <cellStyle name="Normal 4 2 2 3 2 3 4 2 3" xfId="12337" xr:uid="{2F8B0E9E-6D6F-44DA-A0A7-F47CA8D1143D}"/>
    <cellStyle name="Normal 4 2 2 3 2 3 4 2 4" xfId="20778" xr:uid="{419896C7-792B-4184-8647-F290A761A57F}"/>
    <cellStyle name="Normal 4 2 2 3 2 3 4 3" xfId="5960" xr:uid="{00000000-0005-0000-0000-000029120000}"/>
    <cellStyle name="Normal 4 2 2 3 2 3 4 3 2" xfId="14410" xr:uid="{3A554E49-C7F5-44CB-B93E-12526EAC901D}"/>
    <cellStyle name="Normal 4 2 2 3 2 3 4 3 3" xfId="22850" xr:uid="{E597B34F-FC47-4075-AAE2-BAED932BE0F4}"/>
    <cellStyle name="Normal 4 2 2 3 2 3 4 4" xfId="10192" xr:uid="{D79458DD-C9E3-4821-973D-71A3F9251A93}"/>
    <cellStyle name="Normal 4 2 2 3 2 3 4 5" xfId="18633" xr:uid="{12A86BCB-B541-4E5F-A1EE-DE81EB533659}"/>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B6BFFCE9-8923-4AD9-9858-A3BB231EDC3C}"/>
    <cellStyle name="Normal 4 2 2 3 2 3 5 2 2 3" xfId="25408" xr:uid="{7896D60E-5726-49EC-AD25-AB8B508DF843}"/>
    <cellStyle name="Normal 4 2 2 3 2 3 5 2 3" xfId="12750" xr:uid="{494D101C-E14C-4A90-9C17-437C8964F559}"/>
    <cellStyle name="Normal 4 2 2 3 2 3 5 2 4" xfId="21191" xr:uid="{E17142A7-B710-4D41-A0D1-7DA5CF490C0D}"/>
    <cellStyle name="Normal 4 2 2 3 2 3 5 3" xfId="6373" xr:uid="{00000000-0005-0000-0000-00002D120000}"/>
    <cellStyle name="Normal 4 2 2 3 2 3 5 3 2" xfId="14823" xr:uid="{7991828D-AB84-4401-AAF2-8225EC56C90D}"/>
    <cellStyle name="Normal 4 2 2 3 2 3 5 3 3" xfId="23263" xr:uid="{673CB48A-31DA-4333-A85F-E2274E738387}"/>
    <cellStyle name="Normal 4 2 2 3 2 3 5 4" xfId="10605" xr:uid="{70CE0D3F-A73D-4D04-8775-4B66A5C21D52}"/>
    <cellStyle name="Normal 4 2 2 3 2 3 5 5" xfId="19046" xr:uid="{42B90866-4FE5-4BCF-BE13-D6AFE0B56511}"/>
    <cellStyle name="Normal 4 2 2 3 2 3 6" xfId="2503" xr:uid="{00000000-0005-0000-0000-00002E120000}"/>
    <cellStyle name="Normal 4 2 2 3 2 3 6 2" xfId="6786" xr:uid="{00000000-0005-0000-0000-00002F120000}"/>
    <cellStyle name="Normal 4 2 2 3 2 3 6 2 2" xfId="15236" xr:uid="{DC831EAB-77D0-4C8E-B42C-A0F4AA963C6A}"/>
    <cellStyle name="Normal 4 2 2 3 2 3 6 2 3" xfId="23676" xr:uid="{4C27890A-5075-40B4-9194-0A1B752681EA}"/>
    <cellStyle name="Normal 4 2 2 3 2 3 6 3" xfId="11018" xr:uid="{DB78353A-EF20-4EBA-AC3F-B4681D98DECE}"/>
    <cellStyle name="Normal 4 2 2 3 2 3 6 4" xfId="19459" xr:uid="{3451974E-FD0A-4D74-AAC6-7FCFB6ABC901}"/>
    <cellStyle name="Normal 4 2 2 3 2 3 7" xfId="4721" xr:uid="{00000000-0005-0000-0000-000030120000}"/>
    <cellStyle name="Normal 4 2 2 3 2 3 7 2" xfId="13171" xr:uid="{CDCB3C08-D652-43B0-96F1-B4E6DDE46255}"/>
    <cellStyle name="Normal 4 2 2 3 2 3 7 3" xfId="21611" xr:uid="{A402611F-DE11-443F-9F51-8733437F7622}"/>
    <cellStyle name="Normal 4 2 2 3 2 3 8" xfId="8953" xr:uid="{0D7F4B15-9C99-4CFC-938E-1E2DF5B00FBD}"/>
    <cellStyle name="Normal 4 2 2 3 2 3 9" xfId="17394" xr:uid="{C6D83E62-85AB-429E-B5A7-DEE855DF95C7}"/>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1A7A37DE-C831-4630-BAC5-FFF79B35CABF}"/>
    <cellStyle name="Normal 4 2 2 3 2 4 2 2 3" xfId="24166" xr:uid="{459FAAF7-6ADD-4D37-8C73-63EC51A03856}"/>
    <cellStyle name="Normal 4 2 2 3 2 4 2 3" xfId="11508" xr:uid="{42760F9B-777F-4B21-8F28-4BE2685F09A7}"/>
    <cellStyle name="Normal 4 2 2 3 2 4 2 4" xfId="19949" xr:uid="{E1B879B4-DD45-436B-8172-3182B3FFAA19}"/>
    <cellStyle name="Normal 4 2 2 3 2 4 3" xfId="5131" xr:uid="{00000000-0005-0000-0000-000034120000}"/>
    <cellStyle name="Normal 4 2 2 3 2 4 3 2" xfId="13581" xr:uid="{10F62400-6456-400A-8846-10423FF909A1}"/>
    <cellStyle name="Normal 4 2 2 3 2 4 3 3" xfId="22021" xr:uid="{B7AF0BB0-3A19-401A-8D08-8A8E350CC7D9}"/>
    <cellStyle name="Normal 4 2 2 3 2 4 4" xfId="9363" xr:uid="{E67EBCB4-78D2-45B5-8A71-DE4A04CB2954}"/>
    <cellStyle name="Normal 4 2 2 3 2 4 5" xfId="17804" xr:uid="{E40EBF3C-49E2-4448-BD94-F3AF6997DC3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8311ADAF-5506-400C-BB06-AFAD9EE8E257}"/>
    <cellStyle name="Normal 4 2 2 3 2 5 2 2 3" xfId="24579" xr:uid="{3CE0EFF3-1B56-4BA6-BA8C-0C1C75022337}"/>
    <cellStyle name="Normal 4 2 2 3 2 5 2 3" xfId="11921" xr:uid="{2C48E818-A581-479A-B77D-22723D9FF08E}"/>
    <cellStyle name="Normal 4 2 2 3 2 5 2 4" xfId="20362" xr:uid="{1A8B0F68-68C5-4D0E-A73B-49434E60A425}"/>
    <cellStyle name="Normal 4 2 2 3 2 5 3" xfId="5544" xr:uid="{00000000-0005-0000-0000-000038120000}"/>
    <cellStyle name="Normal 4 2 2 3 2 5 3 2" xfId="13994" xr:uid="{D83483B4-AE60-4F12-965F-31AC6A8405CA}"/>
    <cellStyle name="Normal 4 2 2 3 2 5 3 3" xfId="22434" xr:uid="{F3327368-573B-41AA-B0E7-865F7679E71A}"/>
    <cellStyle name="Normal 4 2 2 3 2 5 4" xfId="9776" xr:uid="{5B8F4A53-8A32-4184-A4DF-48B0FDCF0CD8}"/>
    <cellStyle name="Normal 4 2 2 3 2 5 5" xfId="18217" xr:uid="{9AA1BDFC-7EFE-4E8F-83E7-DAADF0B3249B}"/>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0F204782-2C9E-4097-A0F8-BF8343893AC7}"/>
    <cellStyle name="Normal 4 2 2 3 2 6 2 2 3" xfId="24992" xr:uid="{A6BF647A-4B6C-4C18-80CA-F28F83E7492A}"/>
    <cellStyle name="Normal 4 2 2 3 2 6 2 3" xfId="12334" xr:uid="{C3DD91DA-5FCE-4E22-B71C-A0E4A3562258}"/>
    <cellStyle name="Normal 4 2 2 3 2 6 2 4" xfId="20775" xr:uid="{8A1930D1-B678-444B-9EF7-2568101F0110}"/>
    <cellStyle name="Normal 4 2 2 3 2 6 3" xfId="5957" xr:uid="{00000000-0005-0000-0000-00003C120000}"/>
    <cellStyle name="Normal 4 2 2 3 2 6 3 2" xfId="14407" xr:uid="{6466EA51-DB47-4984-848C-4B194215DE1A}"/>
    <cellStyle name="Normal 4 2 2 3 2 6 3 3" xfId="22847" xr:uid="{9B525176-9D41-491E-9A31-2F880EDA2B17}"/>
    <cellStyle name="Normal 4 2 2 3 2 6 4" xfId="10189" xr:uid="{5531EB0D-B4E8-4F3C-9990-9AC7AB3DE6EE}"/>
    <cellStyle name="Normal 4 2 2 3 2 6 5" xfId="18630" xr:uid="{103CB550-A49F-4EA4-A452-D96004EDBD7E}"/>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46A46FDD-8B5F-4EB3-8B35-7D058804B2F5}"/>
    <cellStyle name="Normal 4 2 2 3 2 7 2 2 3" xfId="25405" xr:uid="{70CF96B3-27EC-4C89-9131-DF735F80673B}"/>
    <cellStyle name="Normal 4 2 2 3 2 7 2 3" xfId="12747" xr:uid="{55735725-4E9E-4A5E-B5CC-8D0609BD5DEC}"/>
    <cellStyle name="Normal 4 2 2 3 2 7 2 4" xfId="21188" xr:uid="{A496552B-A818-4498-88E4-120C29D47A47}"/>
    <cellStyle name="Normal 4 2 2 3 2 7 3" xfId="6370" xr:uid="{00000000-0005-0000-0000-000040120000}"/>
    <cellStyle name="Normal 4 2 2 3 2 7 3 2" xfId="14820" xr:uid="{7C591255-5200-4BD0-B6CC-C2F946005DFC}"/>
    <cellStyle name="Normal 4 2 2 3 2 7 3 3" xfId="23260" xr:uid="{48ADC592-E789-40DB-9015-485557E815E0}"/>
    <cellStyle name="Normal 4 2 2 3 2 7 4" xfId="10602" xr:uid="{065806ED-2BF4-4516-9382-ED2D76B0AF63}"/>
    <cellStyle name="Normal 4 2 2 3 2 7 5" xfId="19043" xr:uid="{613E741A-3C77-40BB-843F-04D35471010F}"/>
    <cellStyle name="Normal 4 2 2 3 2 8" xfId="2500" xr:uid="{00000000-0005-0000-0000-000041120000}"/>
    <cellStyle name="Normal 4 2 2 3 2 8 2" xfId="6783" xr:uid="{00000000-0005-0000-0000-000042120000}"/>
    <cellStyle name="Normal 4 2 2 3 2 8 2 2" xfId="15233" xr:uid="{E5DB85BA-E0F9-4E04-BFEC-97713FD69791}"/>
    <cellStyle name="Normal 4 2 2 3 2 8 2 3" xfId="23673" xr:uid="{8CADD9BE-9514-4338-8975-9F7985C59F6D}"/>
    <cellStyle name="Normal 4 2 2 3 2 8 3" xfId="11015" xr:uid="{4F4E1188-54A4-4145-A054-B0C892C3DDDF}"/>
    <cellStyle name="Normal 4 2 2 3 2 8 4" xfId="19456" xr:uid="{C80A1FC2-9ABD-466B-BB62-AA0740F59F1B}"/>
    <cellStyle name="Normal 4 2 2 3 2 9" xfId="4718" xr:uid="{00000000-0005-0000-0000-000043120000}"/>
    <cellStyle name="Normal 4 2 2 3 2 9 2" xfId="13168" xr:uid="{B06BAA10-98A5-498B-A7CD-69773B6FF39A}"/>
    <cellStyle name="Normal 4 2 2 3 2 9 3" xfId="21608" xr:uid="{DA9CD5CB-EFA8-4ACD-830C-49EB3597933A}"/>
    <cellStyle name="Normal 4 2 2 3 3" xfId="344" xr:uid="{00000000-0005-0000-0000-000044120000}"/>
    <cellStyle name="Normal 4 2 2 3 3 10" xfId="17395" xr:uid="{35BB2521-018A-4DCA-87A6-1E0CE1D5DA4B}"/>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5B057F0A-C4DD-48ED-94F7-23A9DEC32661}"/>
    <cellStyle name="Normal 4 2 2 3 3 2 2 2 2 3" xfId="24171" xr:uid="{25F2D408-3AE1-44B4-8F5D-B259621667B4}"/>
    <cellStyle name="Normal 4 2 2 3 3 2 2 2 3" xfId="11513" xr:uid="{4359EADB-8013-4F12-A85A-21863BFF9771}"/>
    <cellStyle name="Normal 4 2 2 3 3 2 2 2 4" xfId="19954" xr:uid="{015F3BDA-1902-49FB-B187-B5E3E2ECB42D}"/>
    <cellStyle name="Normal 4 2 2 3 3 2 2 3" xfId="5136" xr:uid="{00000000-0005-0000-0000-000049120000}"/>
    <cellStyle name="Normal 4 2 2 3 3 2 2 3 2" xfId="13586" xr:uid="{81224B3E-5657-476F-B60C-214F3B0B0CF6}"/>
    <cellStyle name="Normal 4 2 2 3 3 2 2 3 3" xfId="22026" xr:uid="{1C1A43CD-E258-47F6-8CF3-EFE1035EB85C}"/>
    <cellStyle name="Normal 4 2 2 3 3 2 2 4" xfId="9368" xr:uid="{D8A14BE2-0E0D-46D2-BC5C-78756919B42E}"/>
    <cellStyle name="Normal 4 2 2 3 3 2 2 5" xfId="17809" xr:uid="{6613944E-9AC2-48B4-B391-701FDC7E7C8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E6AD951E-2606-43BC-817F-B4BDD0737FF4}"/>
    <cellStyle name="Normal 4 2 2 3 3 2 3 2 2 3" xfId="24584" xr:uid="{8DA5158B-3C55-4EF8-AF46-2273A04683F9}"/>
    <cellStyle name="Normal 4 2 2 3 3 2 3 2 3" xfId="11926" xr:uid="{93A87316-0E4A-4F31-AADA-66770C172C45}"/>
    <cellStyle name="Normal 4 2 2 3 3 2 3 2 4" xfId="20367" xr:uid="{797745E4-670B-48A1-91F0-2B7122970F80}"/>
    <cellStyle name="Normal 4 2 2 3 3 2 3 3" xfId="5549" xr:uid="{00000000-0005-0000-0000-00004D120000}"/>
    <cellStyle name="Normal 4 2 2 3 3 2 3 3 2" xfId="13999" xr:uid="{5B415C73-E5AA-42E0-B2E9-BAD871524463}"/>
    <cellStyle name="Normal 4 2 2 3 3 2 3 3 3" xfId="22439" xr:uid="{766FDCF7-3221-4FA5-A682-055C811A349A}"/>
    <cellStyle name="Normal 4 2 2 3 3 2 3 4" xfId="9781" xr:uid="{4D0B83F7-76B9-48E1-9AEB-F2423F93F9F0}"/>
    <cellStyle name="Normal 4 2 2 3 3 2 3 5" xfId="18222" xr:uid="{0E61AF3F-EEC6-4CE3-AA23-AB5B27FEFC6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55A010B3-475C-461E-B3A0-1B6139C540F0}"/>
    <cellStyle name="Normal 4 2 2 3 3 2 4 2 2 3" xfId="24997" xr:uid="{44237DF9-7372-4648-97DE-28AB8B9CAE74}"/>
    <cellStyle name="Normal 4 2 2 3 3 2 4 2 3" xfId="12339" xr:uid="{6E87F5E1-47AC-4622-9012-4277007E3D65}"/>
    <cellStyle name="Normal 4 2 2 3 3 2 4 2 4" xfId="20780" xr:uid="{7E52044B-3050-4BCC-820C-4350B234264A}"/>
    <cellStyle name="Normal 4 2 2 3 3 2 4 3" xfId="5962" xr:uid="{00000000-0005-0000-0000-000051120000}"/>
    <cellStyle name="Normal 4 2 2 3 3 2 4 3 2" xfId="14412" xr:uid="{C51E1311-48FE-4125-8AED-FC426B44741C}"/>
    <cellStyle name="Normal 4 2 2 3 3 2 4 3 3" xfId="22852" xr:uid="{362C42C3-D741-422D-B7D4-51433E11E945}"/>
    <cellStyle name="Normal 4 2 2 3 3 2 4 4" xfId="10194" xr:uid="{7E348A2F-0013-4362-AF95-66BEACFE8EE1}"/>
    <cellStyle name="Normal 4 2 2 3 3 2 4 5" xfId="18635" xr:uid="{D03AC65A-4AE5-4889-8149-30F4B38FBFF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441C5EBE-D103-415F-B7A6-F210EFAF2859}"/>
    <cellStyle name="Normal 4 2 2 3 3 2 5 2 2 3" xfId="25410" xr:uid="{564B3D92-8C5B-48A9-A19E-9AA3551459D4}"/>
    <cellStyle name="Normal 4 2 2 3 3 2 5 2 3" xfId="12752" xr:uid="{9AA76CD3-695F-4C0D-95BA-C86DE070EC08}"/>
    <cellStyle name="Normal 4 2 2 3 3 2 5 2 4" xfId="21193" xr:uid="{B5C0C16F-F082-43EF-88FF-9D3BE3529AB0}"/>
    <cellStyle name="Normal 4 2 2 3 3 2 5 3" xfId="6375" xr:uid="{00000000-0005-0000-0000-000055120000}"/>
    <cellStyle name="Normal 4 2 2 3 3 2 5 3 2" xfId="14825" xr:uid="{8D17979B-9BF2-407F-88A2-18265D887C42}"/>
    <cellStyle name="Normal 4 2 2 3 3 2 5 3 3" xfId="23265" xr:uid="{13A3A1BC-0029-4B5D-8CD9-00A98A6CDBD3}"/>
    <cellStyle name="Normal 4 2 2 3 3 2 5 4" xfId="10607" xr:uid="{0BBC13FF-291E-4061-B8C8-A5AA22CBA928}"/>
    <cellStyle name="Normal 4 2 2 3 3 2 5 5" xfId="19048" xr:uid="{07731143-38CC-42A2-B58B-301D262978D6}"/>
    <cellStyle name="Normal 4 2 2 3 3 2 6" xfId="2505" xr:uid="{00000000-0005-0000-0000-000056120000}"/>
    <cellStyle name="Normal 4 2 2 3 3 2 6 2" xfId="6788" xr:uid="{00000000-0005-0000-0000-000057120000}"/>
    <cellStyle name="Normal 4 2 2 3 3 2 6 2 2" xfId="15238" xr:uid="{4328A6E7-7ADD-463E-B28A-581150561C7A}"/>
    <cellStyle name="Normal 4 2 2 3 3 2 6 2 3" xfId="23678" xr:uid="{07DD4AAA-D735-4E40-B0F5-C6C3050666C5}"/>
    <cellStyle name="Normal 4 2 2 3 3 2 6 3" xfId="11020" xr:uid="{637077C1-7FE3-458A-B9DA-031E51488DC9}"/>
    <cellStyle name="Normal 4 2 2 3 3 2 6 4" xfId="19461" xr:uid="{843B4EE8-6809-4F9D-A445-797E8BFC28BF}"/>
    <cellStyle name="Normal 4 2 2 3 3 2 7" xfId="4723" xr:uid="{00000000-0005-0000-0000-000058120000}"/>
    <cellStyle name="Normal 4 2 2 3 3 2 7 2" xfId="13173" xr:uid="{59CFE3D6-A3B2-4A00-9390-6CFC6F69A64D}"/>
    <cellStyle name="Normal 4 2 2 3 3 2 7 3" xfId="21613" xr:uid="{283964D9-A3BE-44CD-B21F-50AC128E1DED}"/>
    <cellStyle name="Normal 4 2 2 3 3 2 8" xfId="8955" xr:uid="{8B45D082-7DE5-4854-94B7-77545BD35A0C}"/>
    <cellStyle name="Normal 4 2 2 3 3 2 9" xfId="17396" xr:uid="{99603C43-2C68-47F4-B99D-4A3175C0D7E9}"/>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294F2995-E653-4587-8F9C-933D65C383D6}"/>
    <cellStyle name="Normal 4 2 2 3 3 3 2 2 3" xfId="24170" xr:uid="{7ABE0E03-5D92-47F8-8353-486F26EF21C0}"/>
    <cellStyle name="Normal 4 2 2 3 3 3 2 3" xfId="11512" xr:uid="{ED80F7DB-D9F3-489D-AD9E-8C10756F079D}"/>
    <cellStyle name="Normal 4 2 2 3 3 3 2 4" xfId="19953" xr:uid="{4B747EC4-E82D-49B0-91F2-F5E92DCE76AB}"/>
    <cellStyle name="Normal 4 2 2 3 3 3 3" xfId="5135" xr:uid="{00000000-0005-0000-0000-00005C120000}"/>
    <cellStyle name="Normal 4 2 2 3 3 3 3 2" xfId="13585" xr:uid="{8A7006E0-6688-4659-9236-F1472BDE7F93}"/>
    <cellStyle name="Normal 4 2 2 3 3 3 3 3" xfId="22025" xr:uid="{8F0D48FA-05DD-40E5-B145-557E0F450706}"/>
    <cellStyle name="Normal 4 2 2 3 3 3 4" xfId="9367" xr:uid="{8908982B-F64C-4BC0-AB2B-BF667E88D1D3}"/>
    <cellStyle name="Normal 4 2 2 3 3 3 5" xfId="17808" xr:uid="{E3192BAF-BB9A-4475-8DEF-953FDCF9B448}"/>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6A815889-0FFB-4A06-88C8-19C7EB24C9FF}"/>
    <cellStyle name="Normal 4 2 2 3 3 4 2 2 3" xfId="24583" xr:uid="{3EBDEE4B-E726-49EF-8339-1BD30F9B4FA4}"/>
    <cellStyle name="Normal 4 2 2 3 3 4 2 3" xfId="11925" xr:uid="{C9C98BD5-EE4E-47B8-AA1D-460097433A57}"/>
    <cellStyle name="Normal 4 2 2 3 3 4 2 4" xfId="20366" xr:uid="{542BA73E-E21B-4B0E-8C08-B7137F830704}"/>
    <cellStyle name="Normal 4 2 2 3 3 4 3" xfId="5548" xr:uid="{00000000-0005-0000-0000-000060120000}"/>
    <cellStyle name="Normal 4 2 2 3 3 4 3 2" xfId="13998" xr:uid="{D7F992C2-082C-463F-8304-ACFD911B1D50}"/>
    <cellStyle name="Normal 4 2 2 3 3 4 3 3" xfId="22438" xr:uid="{27415B5C-0314-4E0B-97D3-F5937D97F2A1}"/>
    <cellStyle name="Normal 4 2 2 3 3 4 4" xfId="9780" xr:uid="{4506CAC2-AD4E-49F8-8144-5E23326F43E8}"/>
    <cellStyle name="Normal 4 2 2 3 3 4 5" xfId="18221" xr:uid="{07606B53-C71F-47D5-AA79-5E0EED9C5F7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39791D11-F9FE-4582-94F9-0645838A82E0}"/>
    <cellStyle name="Normal 4 2 2 3 3 5 2 2 3" xfId="24996" xr:uid="{4E7C2518-6EB6-432D-9C01-EAA1B2B928A6}"/>
    <cellStyle name="Normal 4 2 2 3 3 5 2 3" xfId="12338" xr:uid="{60F0829E-C739-410C-B50E-00283B4DFC48}"/>
    <cellStyle name="Normal 4 2 2 3 3 5 2 4" xfId="20779" xr:uid="{A361C668-67B7-4518-958C-8A7C3FE5DCED}"/>
    <cellStyle name="Normal 4 2 2 3 3 5 3" xfId="5961" xr:uid="{00000000-0005-0000-0000-000064120000}"/>
    <cellStyle name="Normal 4 2 2 3 3 5 3 2" xfId="14411" xr:uid="{C3051F16-C5A6-48D4-91C7-753E4EB4BAE2}"/>
    <cellStyle name="Normal 4 2 2 3 3 5 3 3" xfId="22851" xr:uid="{7EAF77DE-D416-4229-87BF-A3560667D4A4}"/>
    <cellStyle name="Normal 4 2 2 3 3 5 4" xfId="10193" xr:uid="{4022B992-9EB2-4A5C-88FF-70DFDF98416E}"/>
    <cellStyle name="Normal 4 2 2 3 3 5 5" xfId="18634" xr:uid="{BFB377FD-7AB6-4B8C-9E72-591A9C81942C}"/>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C8701E91-9131-4C9D-AFCA-4E915D9A9518}"/>
    <cellStyle name="Normal 4 2 2 3 3 6 2 2 3" xfId="25409" xr:uid="{BF0668B7-E4BA-4819-BD19-44865A018BBD}"/>
    <cellStyle name="Normal 4 2 2 3 3 6 2 3" xfId="12751" xr:uid="{6C46508B-52F4-4D25-A2F0-FC161089D3B9}"/>
    <cellStyle name="Normal 4 2 2 3 3 6 2 4" xfId="21192" xr:uid="{40089707-20B2-4249-A5C7-B5163358DD34}"/>
    <cellStyle name="Normal 4 2 2 3 3 6 3" xfId="6374" xr:uid="{00000000-0005-0000-0000-000068120000}"/>
    <cellStyle name="Normal 4 2 2 3 3 6 3 2" xfId="14824" xr:uid="{1C3DDAF4-0A08-4A99-9196-4A03FE8AE48C}"/>
    <cellStyle name="Normal 4 2 2 3 3 6 3 3" xfId="23264" xr:uid="{44BE06B3-F40E-4C3D-A67F-4A93011170E4}"/>
    <cellStyle name="Normal 4 2 2 3 3 6 4" xfId="10606" xr:uid="{FF09C372-C8B5-4F5A-870D-664B42C59D00}"/>
    <cellStyle name="Normal 4 2 2 3 3 6 5" xfId="19047" xr:uid="{DFE82FF7-DE1F-473D-8421-60DB5D3BE584}"/>
    <cellStyle name="Normal 4 2 2 3 3 7" xfId="2504" xr:uid="{00000000-0005-0000-0000-000069120000}"/>
    <cellStyle name="Normal 4 2 2 3 3 7 2" xfId="6787" xr:uid="{00000000-0005-0000-0000-00006A120000}"/>
    <cellStyle name="Normal 4 2 2 3 3 7 2 2" xfId="15237" xr:uid="{CE96D578-7CB4-4CE5-9C0A-02828795DA30}"/>
    <cellStyle name="Normal 4 2 2 3 3 7 2 3" xfId="23677" xr:uid="{4436C6AA-1887-4A69-A188-B8D86D73596C}"/>
    <cellStyle name="Normal 4 2 2 3 3 7 3" xfId="11019" xr:uid="{CF02A04F-AC96-4A0A-907B-B60CE37C57DB}"/>
    <cellStyle name="Normal 4 2 2 3 3 7 4" xfId="19460" xr:uid="{A17A83B4-018A-4DCC-876F-7DD6ED834092}"/>
    <cellStyle name="Normal 4 2 2 3 3 8" xfId="4722" xr:uid="{00000000-0005-0000-0000-00006B120000}"/>
    <cellStyle name="Normal 4 2 2 3 3 8 2" xfId="13172" xr:uid="{E1C6D79C-C8E7-429A-A4BA-D10158FEB889}"/>
    <cellStyle name="Normal 4 2 2 3 3 8 3" xfId="21612" xr:uid="{13CE40C8-3342-47FD-AB4C-F09D78DABBCC}"/>
    <cellStyle name="Normal 4 2 2 3 3 9" xfId="8954" xr:uid="{612B9580-0A4D-46E2-8E71-B79AC07DD88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16F6E4D9-5E3E-4B29-BF0A-B79839C7EC8A}"/>
    <cellStyle name="Normal 4 2 2 3 4 2 2 2 3" xfId="24172" xr:uid="{762565A7-B583-4CA8-88A8-D739E4D305D1}"/>
    <cellStyle name="Normal 4 2 2 3 4 2 2 3" xfId="11514" xr:uid="{31830450-A75D-44F6-B2E4-3364DC6D10A0}"/>
    <cellStyle name="Normal 4 2 2 3 4 2 2 4" xfId="19955" xr:uid="{19581833-7B5E-441A-B9EF-0E405E91EF91}"/>
    <cellStyle name="Normal 4 2 2 3 4 2 3" xfId="5137" xr:uid="{00000000-0005-0000-0000-000070120000}"/>
    <cellStyle name="Normal 4 2 2 3 4 2 3 2" xfId="13587" xr:uid="{1496D1B9-3117-4868-89FA-C021C89E59FC}"/>
    <cellStyle name="Normal 4 2 2 3 4 2 3 3" xfId="22027" xr:uid="{2679C60E-27B5-4BF4-B384-EF3155A3BB4E}"/>
    <cellStyle name="Normal 4 2 2 3 4 2 4" xfId="9369" xr:uid="{634B0EB6-402C-48DE-A839-4B906867E09F}"/>
    <cellStyle name="Normal 4 2 2 3 4 2 5" xfId="17810" xr:uid="{7E672BE6-B370-4F21-B658-C344E513004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D252E71F-22D5-4769-BC7B-5B27630F5290}"/>
    <cellStyle name="Normal 4 2 2 3 4 3 2 2 3" xfId="24585" xr:uid="{1621137A-9418-4A65-9551-6927171D49AE}"/>
    <cellStyle name="Normal 4 2 2 3 4 3 2 3" xfId="11927" xr:uid="{6026EB8D-FD5C-4F1D-945E-CC40566F6024}"/>
    <cellStyle name="Normal 4 2 2 3 4 3 2 4" xfId="20368" xr:uid="{C7607D2C-190F-4E25-918F-0EF541DED396}"/>
    <cellStyle name="Normal 4 2 2 3 4 3 3" xfId="5550" xr:uid="{00000000-0005-0000-0000-000074120000}"/>
    <cellStyle name="Normal 4 2 2 3 4 3 3 2" xfId="14000" xr:uid="{81672000-31C4-416B-BC00-47B5CF178EFC}"/>
    <cellStyle name="Normal 4 2 2 3 4 3 3 3" xfId="22440" xr:uid="{45BA67CF-1A18-4FAB-AE9C-6D138A81F73B}"/>
    <cellStyle name="Normal 4 2 2 3 4 3 4" xfId="9782" xr:uid="{D65B5B71-201E-4085-9491-1CA804A629FF}"/>
    <cellStyle name="Normal 4 2 2 3 4 3 5" xfId="18223" xr:uid="{B8A8F93F-04E7-4E02-8273-3D4574F0388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6EE91DEE-698D-4E2A-BF90-80DB646F84B9}"/>
    <cellStyle name="Normal 4 2 2 3 4 4 2 2 3" xfId="24998" xr:uid="{ED29919C-6492-4A49-AEC9-67150EE95186}"/>
    <cellStyle name="Normal 4 2 2 3 4 4 2 3" xfId="12340" xr:uid="{A53014E6-C3D6-43D1-9356-07FD0903DA19}"/>
    <cellStyle name="Normal 4 2 2 3 4 4 2 4" xfId="20781" xr:uid="{43643ABC-4D02-44AA-BE95-B73E94167015}"/>
    <cellStyle name="Normal 4 2 2 3 4 4 3" xfId="5963" xr:uid="{00000000-0005-0000-0000-000078120000}"/>
    <cellStyle name="Normal 4 2 2 3 4 4 3 2" xfId="14413" xr:uid="{A989F013-729E-40A2-8BE2-E03C7A99293A}"/>
    <cellStyle name="Normal 4 2 2 3 4 4 3 3" xfId="22853" xr:uid="{6C601C53-F642-4A1D-806D-EBB9F156D4ED}"/>
    <cellStyle name="Normal 4 2 2 3 4 4 4" xfId="10195" xr:uid="{C2052EAD-6D85-4A64-9642-8C8669B724E3}"/>
    <cellStyle name="Normal 4 2 2 3 4 4 5" xfId="18636" xr:uid="{E4146842-2C14-492E-A05F-574655F800F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B2171675-D002-49A6-B22D-380CF00076E6}"/>
    <cellStyle name="Normal 4 2 2 3 4 5 2 2 3" xfId="25411" xr:uid="{2125144C-9ABB-4FE6-9B5B-3A27C3517764}"/>
    <cellStyle name="Normal 4 2 2 3 4 5 2 3" xfId="12753" xr:uid="{EED876D9-ED52-439C-B64F-F262F1873903}"/>
    <cellStyle name="Normal 4 2 2 3 4 5 2 4" xfId="21194" xr:uid="{1225A51B-7636-4E46-AE32-DAE6A94CFBC3}"/>
    <cellStyle name="Normal 4 2 2 3 4 5 3" xfId="6376" xr:uid="{00000000-0005-0000-0000-00007C120000}"/>
    <cellStyle name="Normal 4 2 2 3 4 5 3 2" xfId="14826" xr:uid="{6BF96DE5-6968-4E84-B8A9-B206775F480F}"/>
    <cellStyle name="Normal 4 2 2 3 4 5 3 3" xfId="23266" xr:uid="{581C7A6E-171F-4592-8152-BDC7F48CA092}"/>
    <cellStyle name="Normal 4 2 2 3 4 5 4" xfId="10608" xr:uid="{11FD6F6E-960C-46CE-B68D-7A001654A624}"/>
    <cellStyle name="Normal 4 2 2 3 4 5 5" xfId="19049" xr:uid="{2CDB548D-612B-4441-9D86-B29C94CD193E}"/>
    <cellStyle name="Normal 4 2 2 3 4 6" xfId="2506" xr:uid="{00000000-0005-0000-0000-00007D120000}"/>
    <cellStyle name="Normal 4 2 2 3 4 6 2" xfId="6789" xr:uid="{00000000-0005-0000-0000-00007E120000}"/>
    <cellStyle name="Normal 4 2 2 3 4 6 2 2" xfId="15239" xr:uid="{5C8DF4E7-B1DE-430D-A864-FF7B368D2F3C}"/>
    <cellStyle name="Normal 4 2 2 3 4 6 2 3" xfId="23679" xr:uid="{5E4FE42C-63B5-4A8E-979F-D840C0CC7E9F}"/>
    <cellStyle name="Normal 4 2 2 3 4 6 3" xfId="11021" xr:uid="{84398178-B0AF-46AA-B3E1-448CDE126452}"/>
    <cellStyle name="Normal 4 2 2 3 4 6 4" xfId="19462" xr:uid="{05A9D746-61CE-40BA-9E63-01FE15D1B99E}"/>
    <cellStyle name="Normal 4 2 2 3 4 7" xfId="4724" xr:uid="{00000000-0005-0000-0000-00007F120000}"/>
    <cellStyle name="Normal 4 2 2 3 4 7 2" xfId="13174" xr:uid="{24D1FB58-FADC-4A14-A509-966FA8CF47DF}"/>
    <cellStyle name="Normal 4 2 2 3 4 7 3" xfId="21614" xr:uid="{144A7F86-9FD8-4BF1-8C35-37427B7C2AA4}"/>
    <cellStyle name="Normal 4 2 2 3 4 8" xfId="8956" xr:uid="{42042216-F6CA-4EF9-B5D7-A380EB183E92}"/>
    <cellStyle name="Normal 4 2 2 3 4 9" xfId="17397" xr:uid="{55FFE9A0-DC16-4C74-ABBC-DFF3A516DA21}"/>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70932223-D12A-4017-893D-C88163F55ADD}"/>
    <cellStyle name="Normal 4 2 2 3 5 2 2 3" xfId="24165" xr:uid="{9F7DC0A1-9D7F-43FD-9A5C-4AE2DAC665C0}"/>
    <cellStyle name="Normal 4 2 2 3 5 2 3" xfId="11507" xr:uid="{A1E4C42A-B2D6-45AA-8B3B-A909CC41587A}"/>
    <cellStyle name="Normal 4 2 2 3 5 2 4" xfId="19948" xr:uid="{2D172817-9967-4D39-B368-2E060C823EA1}"/>
    <cellStyle name="Normal 4 2 2 3 5 3" xfId="5130" xr:uid="{00000000-0005-0000-0000-000083120000}"/>
    <cellStyle name="Normal 4 2 2 3 5 3 2" xfId="13580" xr:uid="{F34286BE-7D24-4EA9-AF3A-E02F47BD5715}"/>
    <cellStyle name="Normal 4 2 2 3 5 3 3" xfId="22020" xr:uid="{890829AA-5CCB-4BAE-B16D-277FA9369BB2}"/>
    <cellStyle name="Normal 4 2 2 3 5 4" xfId="9362" xr:uid="{AFE94FB4-B03F-4D91-B84C-2A7928442A76}"/>
    <cellStyle name="Normal 4 2 2 3 5 5" xfId="17803" xr:uid="{BF021D85-9D2B-45EB-82A9-D0D0639CC2B4}"/>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737DBA4-D2DF-411E-B957-0487774BAE5E}"/>
    <cellStyle name="Normal 4 2 2 3 6 2 2 3" xfId="24578" xr:uid="{BD2FE702-62B2-4F34-A9A2-5401F8D34A9C}"/>
    <cellStyle name="Normal 4 2 2 3 6 2 3" xfId="11920" xr:uid="{1D4EC95D-0D3D-476C-8E29-3B5DD7A1793B}"/>
    <cellStyle name="Normal 4 2 2 3 6 2 4" xfId="20361" xr:uid="{5D9273A2-16B0-4562-B73C-4BC98085343D}"/>
    <cellStyle name="Normal 4 2 2 3 6 3" xfId="5543" xr:uid="{00000000-0005-0000-0000-000087120000}"/>
    <cellStyle name="Normal 4 2 2 3 6 3 2" xfId="13993" xr:uid="{FDCC90DA-3C85-4482-A324-90C778C54024}"/>
    <cellStyle name="Normal 4 2 2 3 6 3 3" xfId="22433" xr:uid="{8D79B12D-96EB-4D96-BA5E-CC963F5A3089}"/>
    <cellStyle name="Normal 4 2 2 3 6 4" xfId="9775" xr:uid="{A2AEC031-37D2-4BB5-A1AE-5899BF1EB39B}"/>
    <cellStyle name="Normal 4 2 2 3 6 5" xfId="18216" xr:uid="{BA527397-AD03-4EB3-95EF-738A36D7B5C6}"/>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FAC2D1B5-C263-48D7-B6E3-CA81B1813D05}"/>
    <cellStyle name="Normal 4 2 2 3 7 2 2 3" xfId="24991" xr:uid="{83D727EE-6161-435E-9710-57AE88B25473}"/>
    <cellStyle name="Normal 4 2 2 3 7 2 3" xfId="12333" xr:uid="{A9CD9849-CC61-475C-AC1A-6F2430BA4AFF}"/>
    <cellStyle name="Normal 4 2 2 3 7 2 4" xfId="20774" xr:uid="{C098D94B-3282-4A02-A1E5-CF7D8F3AEBF3}"/>
    <cellStyle name="Normal 4 2 2 3 7 3" xfId="5956" xr:uid="{00000000-0005-0000-0000-00008B120000}"/>
    <cellStyle name="Normal 4 2 2 3 7 3 2" xfId="14406" xr:uid="{2BD77BFB-3F4D-44EC-B59D-7BE8E2A87018}"/>
    <cellStyle name="Normal 4 2 2 3 7 3 3" xfId="22846" xr:uid="{5C6B2418-27C9-4231-899B-39206B4743A9}"/>
    <cellStyle name="Normal 4 2 2 3 7 4" xfId="10188" xr:uid="{BDF7178F-A94B-419A-B1A7-F11BC9F38BCB}"/>
    <cellStyle name="Normal 4 2 2 3 7 5" xfId="18629" xr:uid="{51C96129-675B-42F2-91A2-4475ABDDA2D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1D731F92-AD6C-4565-B77C-542D50D3AB64}"/>
    <cellStyle name="Normal 4 2 2 3 8 2 2 3" xfId="25404" xr:uid="{B7ACB2A6-4C16-4B2A-B887-1383A1EFFF57}"/>
    <cellStyle name="Normal 4 2 2 3 8 2 3" xfId="12746" xr:uid="{6B5A8543-4499-4189-AEC0-ED18A6FFF642}"/>
    <cellStyle name="Normal 4 2 2 3 8 2 4" xfId="21187" xr:uid="{8A807472-035E-4187-83DA-A84DBA6531BA}"/>
    <cellStyle name="Normal 4 2 2 3 8 3" xfId="6369" xr:uid="{00000000-0005-0000-0000-00008F120000}"/>
    <cellStyle name="Normal 4 2 2 3 8 3 2" xfId="14819" xr:uid="{D0E4EEFE-905E-4F33-910D-77D0A29AB61A}"/>
    <cellStyle name="Normal 4 2 2 3 8 3 3" xfId="23259" xr:uid="{296D7A10-CCE4-4E46-8FD8-35F2C532295A}"/>
    <cellStyle name="Normal 4 2 2 3 8 4" xfId="10601" xr:uid="{077DE959-FDC2-4AF1-B4B6-9F10674CB9AC}"/>
    <cellStyle name="Normal 4 2 2 3 8 5" xfId="19042" xr:uid="{FD4FE7BB-6EE7-498A-A82F-1425C6AF0527}"/>
    <cellStyle name="Normal 4 2 2 3 9" xfId="2499" xr:uid="{00000000-0005-0000-0000-000090120000}"/>
    <cellStyle name="Normal 4 2 2 3 9 2" xfId="6782" xr:uid="{00000000-0005-0000-0000-000091120000}"/>
    <cellStyle name="Normal 4 2 2 3 9 2 2" xfId="15232" xr:uid="{4D3B8AD9-34D7-4B98-919B-5DDDDFF1E9EB}"/>
    <cellStyle name="Normal 4 2 2 3 9 2 3" xfId="23672" xr:uid="{F1C3D37D-95E3-4EB0-8788-580095553D20}"/>
    <cellStyle name="Normal 4 2 2 3 9 3" xfId="11014" xr:uid="{11F2A1AE-071D-423B-B549-7A34FD1F9C23}"/>
    <cellStyle name="Normal 4 2 2 3 9 4" xfId="19455" xr:uid="{8FFA4907-945D-4F08-82A4-F5900E928728}"/>
    <cellStyle name="Normal 4 2 2 4" xfId="347" xr:uid="{00000000-0005-0000-0000-000092120000}"/>
    <cellStyle name="Normal 4 2 2 4 10" xfId="8957" xr:uid="{C6105E9C-E973-42F9-9ACC-116AE407476B}"/>
    <cellStyle name="Normal 4 2 2 4 11" xfId="17398" xr:uid="{D6BBBC6D-12D2-4A4D-861B-FB89746636AD}"/>
    <cellStyle name="Normal 4 2 2 4 2" xfId="348" xr:uid="{00000000-0005-0000-0000-000093120000}"/>
    <cellStyle name="Normal 4 2 2 4 2 10" xfId="17399" xr:uid="{E8FD9B7C-02BB-40F5-863D-7EF4AAFCFD3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54780527-AD20-471F-9555-4C9210DC6484}"/>
    <cellStyle name="Normal 4 2 2 4 2 2 2 2 2 3" xfId="24175" xr:uid="{EAF9A9B5-08B4-40B7-8499-3030348CDC20}"/>
    <cellStyle name="Normal 4 2 2 4 2 2 2 2 3" xfId="11517" xr:uid="{ADFF0D3A-FD88-44A1-AD29-7DE4248C90D1}"/>
    <cellStyle name="Normal 4 2 2 4 2 2 2 2 4" xfId="19958" xr:uid="{797A90C0-D702-49F3-83BC-FCA5701454C4}"/>
    <cellStyle name="Normal 4 2 2 4 2 2 2 3" xfId="5140" xr:uid="{00000000-0005-0000-0000-000098120000}"/>
    <cellStyle name="Normal 4 2 2 4 2 2 2 3 2" xfId="13590" xr:uid="{E8B5FEA1-81D8-4F84-98AD-C56744D52118}"/>
    <cellStyle name="Normal 4 2 2 4 2 2 2 3 3" xfId="22030" xr:uid="{7BA3B8A1-FC11-4F2D-8107-E6A50AC6E0AE}"/>
    <cellStyle name="Normal 4 2 2 4 2 2 2 4" xfId="9372" xr:uid="{DE3EBAD6-7329-49F1-AF04-3C2C4E21C7C5}"/>
    <cellStyle name="Normal 4 2 2 4 2 2 2 5" xfId="17813" xr:uid="{83A9B923-50E4-4F5C-A095-D85672EEEA7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47A5C6A1-4177-4D1B-9543-EE9E1B2264DC}"/>
    <cellStyle name="Normal 4 2 2 4 2 2 3 2 2 3" xfId="24588" xr:uid="{6BD8033A-1594-49DF-BB0A-41E3588603CA}"/>
    <cellStyle name="Normal 4 2 2 4 2 2 3 2 3" xfId="11930" xr:uid="{9E71D32A-93F5-4D76-93FD-4DBC640970A7}"/>
    <cellStyle name="Normal 4 2 2 4 2 2 3 2 4" xfId="20371" xr:uid="{F226D6E8-8BBC-4245-AB27-5340685F618B}"/>
    <cellStyle name="Normal 4 2 2 4 2 2 3 3" xfId="5553" xr:uid="{00000000-0005-0000-0000-00009C120000}"/>
    <cellStyle name="Normal 4 2 2 4 2 2 3 3 2" xfId="14003" xr:uid="{15381CF0-2549-4EE4-8FE0-21B1D75B2F8B}"/>
    <cellStyle name="Normal 4 2 2 4 2 2 3 3 3" xfId="22443" xr:uid="{ECDFDDFF-AB83-4EC1-BC7E-8E5B50D05DFF}"/>
    <cellStyle name="Normal 4 2 2 4 2 2 3 4" xfId="9785" xr:uid="{E0109F15-B130-44AA-9E58-948AD0075E1A}"/>
    <cellStyle name="Normal 4 2 2 4 2 2 3 5" xfId="18226" xr:uid="{D7AFFB38-A894-4B7F-8A0B-A7B5002EA2C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C7D6F843-D126-45EC-80F1-4EE678E58A70}"/>
    <cellStyle name="Normal 4 2 2 4 2 2 4 2 2 3" xfId="25001" xr:uid="{FC873851-DEAE-4F74-98FC-095844B3D989}"/>
    <cellStyle name="Normal 4 2 2 4 2 2 4 2 3" xfId="12343" xr:uid="{02AB0513-92F6-40C8-A782-9E3627B97988}"/>
    <cellStyle name="Normal 4 2 2 4 2 2 4 2 4" xfId="20784" xr:uid="{A721BA84-5215-464A-BB1E-6026E8AFABD5}"/>
    <cellStyle name="Normal 4 2 2 4 2 2 4 3" xfId="5966" xr:uid="{00000000-0005-0000-0000-0000A0120000}"/>
    <cellStyle name="Normal 4 2 2 4 2 2 4 3 2" xfId="14416" xr:uid="{AF22D03B-0EA6-43B6-B13D-BF548B5881E1}"/>
    <cellStyle name="Normal 4 2 2 4 2 2 4 3 3" xfId="22856" xr:uid="{88D14728-43B7-4DB1-8318-7F0284A71DD4}"/>
    <cellStyle name="Normal 4 2 2 4 2 2 4 4" xfId="10198" xr:uid="{0746A702-1088-476F-8F88-2A9C9B1F7972}"/>
    <cellStyle name="Normal 4 2 2 4 2 2 4 5" xfId="18639" xr:uid="{22ADEFAA-1A84-44DB-94E0-304673F0072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E2DE9322-4F72-4DF3-B26A-E1CE6D30B62E}"/>
    <cellStyle name="Normal 4 2 2 4 2 2 5 2 2 3" xfId="25414" xr:uid="{D3DDB716-3D39-4360-AFD9-20C2FFCFE52A}"/>
    <cellStyle name="Normal 4 2 2 4 2 2 5 2 3" xfId="12756" xr:uid="{F00A867A-93C4-4933-81DC-7199365970CD}"/>
    <cellStyle name="Normal 4 2 2 4 2 2 5 2 4" xfId="21197" xr:uid="{1BB95F9F-BD9C-462A-8185-B4DAF14CB9DF}"/>
    <cellStyle name="Normal 4 2 2 4 2 2 5 3" xfId="6379" xr:uid="{00000000-0005-0000-0000-0000A4120000}"/>
    <cellStyle name="Normal 4 2 2 4 2 2 5 3 2" xfId="14829" xr:uid="{539B383B-EB58-46CF-979A-029ABBBB41FC}"/>
    <cellStyle name="Normal 4 2 2 4 2 2 5 3 3" xfId="23269" xr:uid="{B6DF4600-381F-47B2-BD17-A7762DF0E70A}"/>
    <cellStyle name="Normal 4 2 2 4 2 2 5 4" xfId="10611" xr:uid="{4372941E-1E9E-49B9-830E-F826A0E47FF9}"/>
    <cellStyle name="Normal 4 2 2 4 2 2 5 5" xfId="19052" xr:uid="{E19D6A1A-773D-4CE2-80C4-D24BF48CB8B0}"/>
    <cellStyle name="Normal 4 2 2 4 2 2 6" xfId="2509" xr:uid="{00000000-0005-0000-0000-0000A5120000}"/>
    <cellStyle name="Normal 4 2 2 4 2 2 6 2" xfId="6792" xr:uid="{00000000-0005-0000-0000-0000A6120000}"/>
    <cellStyle name="Normal 4 2 2 4 2 2 6 2 2" xfId="15242" xr:uid="{1824756F-7870-42BA-8941-F8CC302FBAF7}"/>
    <cellStyle name="Normal 4 2 2 4 2 2 6 2 3" xfId="23682" xr:uid="{63917460-FB59-400E-A1DB-C08FF8DC5CD4}"/>
    <cellStyle name="Normal 4 2 2 4 2 2 6 3" xfId="11024" xr:uid="{E5FB2110-E344-4A12-8310-B3251B5F055D}"/>
    <cellStyle name="Normal 4 2 2 4 2 2 6 4" xfId="19465" xr:uid="{5563D14B-A02C-46C1-BE07-75552F5D6C65}"/>
    <cellStyle name="Normal 4 2 2 4 2 2 7" xfId="4727" xr:uid="{00000000-0005-0000-0000-0000A7120000}"/>
    <cellStyle name="Normal 4 2 2 4 2 2 7 2" xfId="13177" xr:uid="{A3F95A16-E777-48DC-AB47-2F251F9DE5FF}"/>
    <cellStyle name="Normal 4 2 2 4 2 2 7 3" xfId="21617" xr:uid="{7CB5A565-D78B-4742-97CF-63945BE90183}"/>
    <cellStyle name="Normal 4 2 2 4 2 2 8" xfId="8959" xr:uid="{110891EF-AD92-4EBC-AC87-94E5DFFC9B31}"/>
    <cellStyle name="Normal 4 2 2 4 2 2 9" xfId="17400" xr:uid="{D2A7D57D-66AF-485A-8995-141BE227D9F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62BFBB4F-A096-4661-BFB7-B5FFAC7E4C96}"/>
    <cellStyle name="Normal 4 2 2 4 2 3 2 2 3" xfId="24174" xr:uid="{00C897CB-9F4E-4507-880A-C0C9A4E0AE6D}"/>
    <cellStyle name="Normal 4 2 2 4 2 3 2 3" xfId="11516" xr:uid="{5478074B-2F28-415A-803A-ED3E14C4E393}"/>
    <cellStyle name="Normal 4 2 2 4 2 3 2 4" xfId="19957" xr:uid="{751F7F57-0822-4D76-A812-7DE6E399B8C0}"/>
    <cellStyle name="Normal 4 2 2 4 2 3 3" xfId="5139" xr:uid="{00000000-0005-0000-0000-0000AB120000}"/>
    <cellStyle name="Normal 4 2 2 4 2 3 3 2" xfId="13589" xr:uid="{BD7FAA24-6B83-447D-A9E0-454768D7D3B3}"/>
    <cellStyle name="Normal 4 2 2 4 2 3 3 3" xfId="22029" xr:uid="{8560A2D8-A7EE-467C-9193-E4C3DF0B6B3B}"/>
    <cellStyle name="Normal 4 2 2 4 2 3 4" xfId="9371" xr:uid="{E317F06E-37B5-4DFA-AC41-2E0C9142886F}"/>
    <cellStyle name="Normal 4 2 2 4 2 3 5" xfId="17812" xr:uid="{D830A656-1866-4851-8235-1B836C1B068A}"/>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5A80C360-7134-4643-A843-DAE7BCB925C7}"/>
    <cellStyle name="Normal 4 2 2 4 2 4 2 2 3" xfId="24587" xr:uid="{691474A4-5A1F-4E2F-8844-FFEF1CE376CC}"/>
    <cellStyle name="Normal 4 2 2 4 2 4 2 3" xfId="11929" xr:uid="{4A98CD4D-86EE-4E5A-8448-A7EE1DD8D1F4}"/>
    <cellStyle name="Normal 4 2 2 4 2 4 2 4" xfId="20370" xr:uid="{F3209579-5D21-4FD7-B84F-CA81B3B00025}"/>
    <cellStyle name="Normal 4 2 2 4 2 4 3" xfId="5552" xr:uid="{00000000-0005-0000-0000-0000AF120000}"/>
    <cellStyle name="Normal 4 2 2 4 2 4 3 2" xfId="14002" xr:uid="{4A716755-4680-43B8-B91D-BBE955DD19FC}"/>
    <cellStyle name="Normal 4 2 2 4 2 4 3 3" xfId="22442" xr:uid="{4FBCD713-47B2-438B-A322-AFFD5C5F5F05}"/>
    <cellStyle name="Normal 4 2 2 4 2 4 4" xfId="9784" xr:uid="{13911737-393C-479D-BA5E-B362C8E3C534}"/>
    <cellStyle name="Normal 4 2 2 4 2 4 5" xfId="18225" xr:uid="{1F6BF354-B110-4853-B3E3-A0F076599BC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F736051D-D20E-4D44-8FE6-FA7E4B2B2E44}"/>
    <cellStyle name="Normal 4 2 2 4 2 5 2 2 3" xfId="25000" xr:uid="{CDE2AB99-F237-44D1-887C-1E6450BC0A93}"/>
    <cellStyle name="Normal 4 2 2 4 2 5 2 3" xfId="12342" xr:uid="{02F3FD4F-471E-4C64-842E-C49EC4CDBEE6}"/>
    <cellStyle name="Normal 4 2 2 4 2 5 2 4" xfId="20783" xr:uid="{F0E4C2AB-A663-479A-B3CB-1A918420687D}"/>
    <cellStyle name="Normal 4 2 2 4 2 5 3" xfId="5965" xr:uid="{00000000-0005-0000-0000-0000B3120000}"/>
    <cellStyle name="Normal 4 2 2 4 2 5 3 2" xfId="14415" xr:uid="{4E24A4C4-66C5-4E73-8ED7-84F3F374D3E9}"/>
    <cellStyle name="Normal 4 2 2 4 2 5 3 3" xfId="22855" xr:uid="{7D2D751F-FE6B-472E-BEFA-973E72BABE4E}"/>
    <cellStyle name="Normal 4 2 2 4 2 5 4" xfId="10197" xr:uid="{CF300658-B250-4320-A3F1-1B26F3F895D8}"/>
    <cellStyle name="Normal 4 2 2 4 2 5 5" xfId="18638" xr:uid="{7987AA12-BCA0-4EF2-AF63-48AF006D225C}"/>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CBB13488-3FA9-479D-84C2-27B770D66647}"/>
    <cellStyle name="Normal 4 2 2 4 2 6 2 2 3" xfId="25413" xr:uid="{757E56EB-DFB5-4C1C-A694-441FFB9C6A64}"/>
    <cellStyle name="Normal 4 2 2 4 2 6 2 3" xfId="12755" xr:uid="{65FB18E6-366A-4361-B771-5B477B26335C}"/>
    <cellStyle name="Normal 4 2 2 4 2 6 2 4" xfId="21196" xr:uid="{69C2E82C-A59D-4639-B061-CB102598719F}"/>
    <cellStyle name="Normal 4 2 2 4 2 6 3" xfId="6378" xr:uid="{00000000-0005-0000-0000-0000B7120000}"/>
    <cellStyle name="Normal 4 2 2 4 2 6 3 2" xfId="14828" xr:uid="{D60D283F-2237-42B2-A372-EF5B81FA960C}"/>
    <cellStyle name="Normal 4 2 2 4 2 6 3 3" xfId="23268" xr:uid="{33F4C990-D096-4889-8E77-7A8F04E27941}"/>
    <cellStyle name="Normal 4 2 2 4 2 6 4" xfId="10610" xr:uid="{02C8C699-EA44-4C52-B013-D3FB9FAC0A84}"/>
    <cellStyle name="Normal 4 2 2 4 2 6 5" xfId="19051" xr:uid="{478BA87F-DC2A-4570-85D1-7B5BB214B6DF}"/>
    <cellStyle name="Normal 4 2 2 4 2 7" xfId="2508" xr:uid="{00000000-0005-0000-0000-0000B8120000}"/>
    <cellStyle name="Normal 4 2 2 4 2 7 2" xfId="6791" xr:uid="{00000000-0005-0000-0000-0000B9120000}"/>
    <cellStyle name="Normal 4 2 2 4 2 7 2 2" xfId="15241" xr:uid="{DF20A796-20DA-4C98-9891-07597476CCDC}"/>
    <cellStyle name="Normal 4 2 2 4 2 7 2 3" xfId="23681" xr:uid="{B34CAC69-27AD-4F9D-9812-B2A3980B8114}"/>
    <cellStyle name="Normal 4 2 2 4 2 7 3" xfId="11023" xr:uid="{98206C7C-D5BC-48DA-8157-04951744E3C4}"/>
    <cellStyle name="Normal 4 2 2 4 2 7 4" xfId="19464" xr:uid="{20B65648-83AA-43C7-864B-F17C261ECE63}"/>
    <cellStyle name="Normal 4 2 2 4 2 8" xfId="4726" xr:uid="{00000000-0005-0000-0000-0000BA120000}"/>
    <cellStyle name="Normal 4 2 2 4 2 8 2" xfId="13176" xr:uid="{C08AD634-EA7F-4DFA-9AE4-D9ECAC814C2D}"/>
    <cellStyle name="Normal 4 2 2 4 2 8 3" xfId="21616" xr:uid="{E8479387-329D-4BD4-959F-26DE88B7C639}"/>
    <cellStyle name="Normal 4 2 2 4 2 9" xfId="8958" xr:uid="{3CFE651F-57EB-4148-98CC-BB355814E46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995DE766-BBA6-4766-A0FF-9EA9E77E8E0B}"/>
    <cellStyle name="Normal 4 2 2 4 3 2 2 2 3" xfId="24176" xr:uid="{A23F9D78-ACEA-4F4E-ABC5-EF730DCD11FA}"/>
    <cellStyle name="Normal 4 2 2 4 3 2 2 3" xfId="11518" xr:uid="{26DF7DA2-A36A-403B-A9FA-E77627585602}"/>
    <cellStyle name="Normal 4 2 2 4 3 2 2 4" xfId="19959" xr:uid="{5F83C7BD-B180-4D31-BD94-269EB7A731B5}"/>
    <cellStyle name="Normal 4 2 2 4 3 2 3" xfId="5141" xr:uid="{00000000-0005-0000-0000-0000BF120000}"/>
    <cellStyle name="Normal 4 2 2 4 3 2 3 2" xfId="13591" xr:uid="{6BF7E621-85E3-4BDB-B474-2DCE364D4C37}"/>
    <cellStyle name="Normal 4 2 2 4 3 2 3 3" xfId="22031" xr:uid="{2AC277DF-2055-475D-A55C-83C0BCB06166}"/>
    <cellStyle name="Normal 4 2 2 4 3 2 4" xfId="9373" xr:uid="{B1BE53F5-E996-460F-98B7-E81400E493EF}"/>
    <cellStyle name="Normal 4 2 2 4 3 2 5" xfId="17814" xr:uid="{26FC52D3-BAB2-428A-9FC3-4012F13EC8E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5051F233-90B4-4593-820D-90A6AC818C65}"/>
    <cellStyle name="Normal 4 2 2 4 3 3 2 2 3" xfId="24589" xr:uid="{6EB1EA48-690D-4729-8ACA-78865AE26151}"/>
    <cellStyle name="Normal 4 2 2 4 3 3 2 3" xfId="11931" xr:uid="{AA49E800-7F63-44F9-BD44-A506FF574203}"/>
    <cellStyle name="Normal 4 2 2 4 3 3 2 4" xfId="20372" xr:uid="{9BDB4F06-5082-4516-A78C-0C93A3DCD8B1}"/>
    <cellStyle name="Normal 4 2 2 4 3 3 3" xfId="5554" xr:uid="{00000000-0005-0000-0000-0000C3120000}"/>
    <cellStyle name="Normal 4 2 2 4 3 3 3 2" xfId="14004" xr:uid="{F757EB57-5190-4DB3-9280-A62B7BADD787}"/>
    <cellStyle name="Normal 4 2 2 4 3 3 3 3" xfId="22444" xr:uid="{850F7BE9-24B2-47F0-9A13-B5691E9F9447}"/>
    <cellStyle name="Normal 4 2 2 4 3 3 4" xfId="9786" xr:uid="{00F72E87-A435-414F-A09F-DA1026515289}"/>
    <cellStyle name="Normal 4 2 2 4 3 3 5" xfId="18227" xr:uid="{DBC263B8-5DA1-49D0-BE71-490F945AD4BA}"/>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324EF41A-A1E1-4182-AB84-3EE3446E3926}"/>
    <cellStyle name="Normal 4 2 2 4 3 4 2 2 3" xfId="25002" xr:uid="{FFC0D115-4DD7-4CD2-B34C-4DFE44A76D47}"/>
    <cellStyle name="Normal 4 2 2 4 3 4 2 3" xfId="12344" xr:uid="{38E449A2-921A-412A-BB4E-440093E23400}"/>
    <cellStyle name="Normal 4 2 2 4 3 4 2 4" xfId="20785" xr:uid="{7C1A756C-77BB-45B4-8F7C-C2057BE2570B}"/>
    <cellStyle name="Normal 4 2 2 4 3 4 3" xfId="5967" xr:uid="{00000000-0005-0000-0000-0000C7120000}"/>
    <cellStyle name="Normal 4 2 2 4 3 4 3 2" xfId="14417" xr:uid="{023BDF53-29D9-4382-99F7-D797D39E7C64}"/>
    <cellStyle name="Normal 4 2 2 4 3 4 3 3" xfId="22857" xr:uid="{4BC7F919-7136-4751-B9F5-F8AA4C828738}"/>
    <cellStyle name="Normal 4 2 2 4 3 4 4" xfId="10199" xr:uid="{09EE6274-98FD-4BF8-97AA-CBFC27C7524A}"/>
    <cellStyle name="Normal 4 2 2 4 3 4 5" xfId="18640" xr:uid="{7C97F25B-7853-4BC8-95F3-68AF9860273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6E59CE0D-3F79-4BFD-9F1B-315EFABCC157}"/>
    <cellStyle name="Normal 4 2 2 4 3 5 2 2 3" xfId="25415" xr:uid="{440E9FA1-5B83-4D09-B8AB-073A6DA5878A}"/>
    <cellStyle name="Normal 4 2 2 4 3 5 2 3" xfId="12757" xr:uid="{59BCDFAD-7CB8-4828-99C3-9FB7CD17BCC2}"/>
    <cellStyle name="Normal 4 2 2 4 3 5 2 4" xfId="21198" xr:uid="{D568C64C-1835-42DF-A5C0-C1E4253A1DE1}"/>
    <cellStyle name="Normal 4 2 2 4 3 5 3" xfId="6380" xr:uid="{00000000-0005-0000-0000-0000CB120000}"/>
    <cellStyle name="Normal 4 2 2 4 3 5 3 2" xfId="14830" xr:uid="{F26F83CF-43E6-445E-B8D1-26BD5BC09956}"/>
    <cellStyle name="Normal 4 2 2 4 3 5 3 3" xfId="23270" xr:uid="{6B3FC1C0-8954-4D86-BDFB-A7CD3CBCFEDB}"/>
    <cellStyle name="Normal 4 2 2 4 3 5 4" xfId="10612" xr:uid="{3A2CA247-3C07-44A0-8AB4-E8D953282F66}"/>
    <cellStyle name="Normal 4 2 2 4 3 5 5" xfId="19053" xr:uid="{54C04FD0-F00C-4D7D-B91D-6D425FA51DFF}"/>
    <cellStyle name="Normal 4 2 2 4 3 6" xfId="2510" xr:uid="{00000000-0005-0000-0000-0000CC120000}"/>
    <cellStyle name="Normal 4 2 2 4 3 6 2" xfId="6793" xr:uid="{00000000-0005-0000-0000-0000CD120000}"/>
    <cellStyle name="Normal 4 2 2 4 3 6 2 2" xfId="15243" xr:uid="{90529B08-0D34-4824-B5F4-28017A4556D3}"/>
    <cellStyle name="Normal 4 2 2 4 3 6 2 3" xfId="23683" xr:uid="{286D1C45-6716-470D-A947-BC18204228EF}"/>
    <cellStyle name="Normal 4 2 2 4 3 6 3" xfId="11025" xr:uid="{A26AE80C-2B20-44BE-ACEB-C2CDC1DD24A3}"/>
    <cellStyle name="Normal 4 2 2 4 3 6 4" xfId="19466" xr:uid="{26928A69-3FBD-4EDE-A0E7-065619270205}"/>
    <cellStyle name="Normal 4 2 2 4 3 7" xfId="4728" xr:uid="{00000000-0005-0000-0000-0000CE120000}"/>
    <cellStyle name="Normal 4 2 2 4 3 7 2" xfId="13178" xr:uid="{17B67D7B-0293-46A2-BBD6-E0F37F96F811}"/>
    <cellStyle name="Normal 4 2 2 4 3 7 3" xfId="21618" xr:uid="{28D9E19A-4D4A-400D-8685-F2EFA49E37D1}"/>
    <cellStyle name="Normal 4 2 2 4 3 8" xfId="8960" xr:uid="{FA2AC030-94A8-482C-8258-9641786C485E}"/>
    <cellStyle name="Normal 4 2 2 4 3 9" xfId="17401" xr:uid="{9708E3B2-F016-4DC4-B5F3-A621E8A739B5}"/>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F5305A40-1314-4251-8C14-60789A51B1BD}"/>
    <cellStyle name="Normal 4 2 2 4 4 2 2 3" xfId="24173" xr:uid="{ADEE8110-4CBF-42B6-BC3D-5ECEEA803217}"/>
    <cellStyle name="Normal 4 2 2 4 4 2 3" xfId="11515" xr:uid="{E88C6C8F-B82A-4AC2-9184-18526E349324}"/>
    <cellStyle name="Normal 4 2 2 4 4 2 4" xfId="19956" xr:uid="{58312B69-0477-4C03-BC4D-33281FD9F763}"/>
    <cellStyle name="Normal 4 2 2 4 4 3" xfId="5138" xr:uid="{00000000-0005-0000-0000-0000D2120000}"/>
    <cellStyle name="Normal 4 2 2 4 4 3 2" xfId="13588" xr:uid="{56D2C461-F4B3-4E54-ACE9-EBA1E354F835}"/>
    <cellStyle name="Normal 4 2 2 4 4 3 3" xfId="22028" xr:uid="{FA0879DD-0758-48A1-855D-06C218CEA265}"/>
    <cellStyle name="Normal 4 2 2 4 4 4" xfId="9370" xr:uid="{55404222-63A5-4CCD-AB59-37D84AA48475}"/>
    <cellStyle name="Normal 4 2 2 4 4 5" xfId="17811" xr:uid="{1048C147-C795-4DE6-A515-F7DBDC45C30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BADCDCD8-FDB7-4A59-9C00-E59E22D0AAE0}"/>
    <cellStyle name="Normal 4 2 2 4 5 2 2 3" xfId="24586" xr:uid="{757C62EB-9EEB-4F79-A0F7-58A6A7A4C2D1}"/>
    <cellStyle name="Normal 4 2 2 4 5 2 3" xfId="11928" xr:uid="{375B51AB-2745-4091-8D35-5C6E1D3FDCB4}"/>
    <cellStyle name="Normal 4 2 2 4 5 2 4" xfId="20369" xr:uid="{865D08F5-A81E-468E-8F75-054841F79228}"/>
    <cellStyle name="Normal 4 2 2 4 5 3" xfId="5551" xr:uid="{00000000-0005-0000-0000-0000D6120000}"/>
    <cellStyle name="Normal 4 2 2 4 5 3 2" xfId="14001" xr:uid="{6D16BB0A-26E7-4B9D-99D8-E92021885CAF}"/>
    <cellStyle name="Normal 4 2 2 4 5 3 3" xfId="22441" xr:uid="{1E7FA9B1-76B3-4E84-B2F6-CDB91471C3B0}"/>
    <cellStyle name="Normal 4 2 2 4 5 4" xfId="9783" xr:uid="{268CC844-4861-4DEB-904B-4387D925EA09}"/>
    <cellStyle name="Normal 4 2 2 4 5 5" xfId="18224" xr:uid="{D8E7DAE3-5970-4B08-9921-4A37C88C9CE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D6F949F5-75EC-4EB5-9E8C-0F636ACAA8C5}"/>
    <cellStyle name="Normal 4 2 2 4 6 2 2 3" xfId="24999" xr:uid="{EF44573B-D750-453D-B783-764320613097}"/>
    <cellStyle name="Normal 4 2 2 4 6 2 3" xfId="12341" xr:uid="{5830937A-96E0-430E-A5F3-CE4A1302697C}"/>
    <cellStyle name="Normal 4 2 2 4 6 2 4" xfId="20782" xr:uid="{DDBFB114-C873-4D16-9505-2128D84CE9DC}"/>
    <cellStyle name="Normal 4 2 2 4 6 3" xfId="5964" xr:uid="{00000000-0005-0000-0000-0000DA120000}"/>
    <cellStyle name="Normal 4 2 2 4 6 3 2" xfId="14414" xr:uid="{B8E3AAF6-1B45-4DB7-A117-900CA272D0E1}"/>
    <cellStyle name="Normal 4 2 2 4 6 3 3" xfId="22854" xr:uid="{B6076D85-3B6E-4D5D-85E1-C64A7FAF1792}"/>
    <cellStyle name="Normal 4 2 2 4 6 4" xfId="10196" xr:uid="{16507EF7-7731-4FF8-B070-E5241DA18F02}"/>
    <cellStyle name="Normal 4 2 2 4 6 5" xfId="18637" xr:uid="{6F199FB0-1048-4575-A6FC-E45E714FEEF4}"/>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CDF87510-57D5-42FC-A01B-9E7777360166}"/>
    <cellStyle name="Normal 4 2 2 4 7 2 2 3" xfId="25412" xr:uid="{53D0CA78-0182-4693-AA74-4DDE41D09A51}"/>
    <cellStyle name="Normal 4 2 2 4 7 2 3" xfId="12754" xr:uid="{B19889B9-4869-46BB-BAA3-994749C9E460}"/>
    <cellStyle name="Normal 4 2 2 4 7 2 4" xfId="21195" xr:uid="{AFD5D911-CE0A-4BA8-930E-94329B53FE4A}"/>
    <cellStyle name="Normal 4 2 2 4 7 3" xfId="6377" xr:uid="{00000000-0005-0000-0000-0000DE120000}"/>
    <cellStyle name="Normal 4 2 2 4 7 3 2" xfId="14827" xr:uid="{4C687A6D-2097-4CC5-A3E7-4DB416D511FD}"/>
    <cellStyle name="Normal 4 2 2 4 7 3 3" xfId="23267" xr:uid="{7E6216CA-F81F-48F6-9893-46CE4A5D053C}"/>
    <cellStyle name="Normal 4 2 2 4 7 4" xfId="10609" xr:uid="{12A9567E-7D23-4407-93CC-5866DCD9FBDB}"/>
    <cellStyle name="Normal 4 2 2 4 7 5" xfId="19050" xr:uid="{B27C2454-DAA8-4D27-93DC-10C085543A71}"/>
    <cellStyle name="Normal 4 2 2 4 8" xfId="2507" xr:uid="{00000000-0005-0000-0000-0000DF120000}"/>
    <cellStyle name="Normal 4 2 2 4 8 2" xfId="6790" xr:uid="{00000000-0005-0000-0000-0000E0120000}"/>
    <cellStyle name="Normal 4 2 2 4 8 2 2" xfId="15240" xr:uid="{0B0F72A9-53BC-4AAE-B858-9C24C1984D8C}"/>
    <cellStyle name="Normal 4 2 2 4 8 2 3" xfId="23680" xr:uid="{78187349-5710-431B-993F-7B31E75F6434}"/>
    <cellStyle name="Normal 4 2 2 4 8 3" xfId="11022" xr:uid="{DBA46F4D-0134-4C91-9DA4-4078FD9D703C}"/>
    <cellStyle name="Normal 4 2 2 4 8 4" xfId="19463" xr:uid="{DED85231-2E93-4818-A1EF-BE94DC8219BB}"/>
    <cellStyle name="Normal 4 2 2 4 9" xfId="4725" xr:uid="{00000000-0005-0000-0000-0000E1120000}"/>
    <cellStyle name="Normal 4 2 2 4 9 2" xfId="13175" xr:uid="{D4D8A0D4-9CBF-40BB-AF33-483E2BA5DF5E}"/>
    <cellStyle name="Normal 4 2 2 4 9 3" xfId="21615" xr:uid="{D90196AF-173E-4872-A792-0A7B49521FCB}"/>
    <cellStyle name="Normal 4 2 2 5" xfId="351" xr:uid="{00000000-0005-0000-0000-0000E2120000}"/>
    <cellStyle name="Normal 4 2 2 5 10" xfId="17402" xr:uid="{B6999BB4-8914-4A21-B684-2CCDA048087F}"/>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6402D819-75CA-42F1-BD8F-54C5019DF157}"/>
    <cellStyle name="Normal 4 2 2 5 2 2 2 2 3" xfId="24178" xr:uid="{7D89311A-0C8F-4F46-852F-1584C4A62B91}"/>
    <cellStyle name="Normal 4 2 2 5 2 2 2 3" xfId="11520" xr:uid="{4E1FD882-F852-487D-98AD-7A5776BEC9B8}"/>
    <cellStyle name="Normal 4 2 2 5 2 2 2 4" xfId="19961" xr:uid="{4891BA7C-7225-4ED5-8C38-33164FC72EC7}"/>
    <cellStyle name="Normal 4 2 2 5 2 2 3" xfId="5143" xr:uid="{00000000-0005-0000-0000-0000E7120000}"/>
    <cellStyle name="Normal 4 2 2 5 2 2 3 2" xfId="13593" xr:uid="{97A919DA-22A0-4F42-B11C-03C5691E1F21}"/>
    <cellStyle name="Normal 4 2 2 5 2 2 3 3" xfId="22033" xr:uid="{5160433C-8CCC-48AA-9138-697B7779E4B4}"/>
    <cellStyle name="Normal 4 2 2 5 2 2 4" xfId="9375" xr:uid="{D0A29AE1-ECEE-4FB8-B56C-C4E45C13AB96}"/>
    <cellStyle name="Normal 4 2 2 5 2 2 5" xfId="17816" xr:uid="{D8F1BFD1-4A54-4C88-BED4-38EBF759D6E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B48F4DDB-14D6-4FC3-A231-EFA52C553DCF}"/>
    <cellStyle name="Normal 4 2 2 5 2 3 2 2 3" xfId="24591" xr:uid="{5DFB9F0F-2B2F-4151-A7DC-1A53A5A2D270}"/>
    <cellStyle name="Normal 4 2 2 5 2 3 2 3" xfId="11933" xr:uid="{24B18D37-C62E-4594-A66F-D3DAF86983D2}"/>
    <cellStyle name="Normal 4 2 2 5 2 3 2 4" xfId="20374" xr:uid="{5DF98013-9370-4AA6-B05C-19D22935687A}"/>
    <cellStyle name="Normal 4 2 2 5 2 3 3" xfId="5556" xr:uid="{00000000-0005-0000-0000-0000EB120000}"/>
    <cellStyle name="Normal 4 2 2 5 2 3 3 2" xfId="14006" xr:uid="{5383151A-A6BE-49C0-A47C-C7FDC6BDA6E5}"/>
    <cellStyle name="Normal 4 2 2 5 2 3 3 3" xfId="22446" xr:uid="{C3153280-728B-4ED1-8DAE-36B536D200AE}"/>
    <cellStyle name="Normal 4 2 2 5 2 3 4" xfId="9788" xr:uid="{3B0D739B-905A-425F-9C9F-E8D129E53F6F}"/>
    <cellStyle name="Normal 4 2 2 5 2 3 5" xfId="18229" xr:uid="{E18E21C4-9CB2-463F-B71F-9A1511F3669D}"/>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89BC54A4-0C4A-4FD1-9285-DB79D850A99A}"/>
    <cellStyle name="Normal 4 2 2 5 2 4 2 2 3" xfId="25004" xr:uid="{2C4ECEC3-4463-43CA-94EC-E9CAA4F487C2}"/>
    <cellStyle name="Normal 4 2 2 5 2 4 2 3" xfId="12346" xr:uid="{2FD24A50-C7E9-426B-A8CF-EF6CFD0EF291}"/>
    <cellStyle name="Normal 4 2 2 5 2 4 2 4" xfId="20787" xr:uid="{7C80CCEA-8AB8-4BEA-949D-6026B28483B3}"/>
    <cellStyle name="Normal 4 2 2 5 2 4 3" xfId="5969" xr:uid="{00000000-0005-0000-0000-0000EF120000}"/>
    <cellStyle name="Normal 4 2 2 5 2 4 3 2" xfId="14419" xr:uid="{C8491C13-7499-4685-84C2-DDD4BA00F8A7}"/>
    <cellStyle name="Normal 4 2 2 5 2 4 3 3" xfId="22859" xr:uid="{FCE475B2-2C5F-4E91-902B-6194BD5BD068}"/>
    <cellStyle name="Normal 4 2 2 5 2 4 4" xfId="10201" xr:uid="{EE37353E-070C-4019-9C87-26C79962CD63}"/>
    <cellStyle name="Normal 4 2 2 5 2 4 5" xfId="18642" xr:uid="{2DC364E2-A7B2-4A13-BB1D-0DD5434911EE}"/>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DE41D628-B1D2-401B-9C18-14C936B4F860}"/>
    <cellStyle name="Normal 4 2 2 5 2 5 2 2 3" xfId="25417" xr:uid="{C9CA619F-E776-4D7A-87D1-2AF39B0A4066}"/>
    <cellStyle name="Normal 4 2 2 5 2 5 2 3" xfId="12759" xr:uid="{0C5CD367-0041-43FF-B245-77B0CFE0B443}"/>
    <cellStyle name="Normal 4 2 2 5 2 5 2 4" xfId="21200" xr:uid="{0B0AC003-B4E1-4797-AA6B-E9EE51BC07A6}"/>
    <cellStyle name="Normal 4 2 2 5 2 5 3" xfId="6382" xr:uid="{00000000-0005-0000-0000-0000F3120000}"/>
    <cellStyle name="Normal 4 2 2 5 2 5 3 2" xfId="14832" xr:uid="{3901B2F5-8353-4A3C-BDD5-B2EF4FCA50C8}"/>
    <cellStyle name="Normal 4 2 2 5 2 5 3 3" xfId="23272" xr:uid="{2EE1DF18-4B99-48CC-8E7C-EC992DDBDF90}"/>
    <cellStyle name="Normal 4 2 2 5 2 5 4" xfId="10614" xr:uid="{47724D80-5F3C-4167-B343-AE55775F5DC6}"/>
    <cellStyle name="Normal 4 2 2 5 2 5 5" xfId="19055" xr:uid="{38EBA844-7258-454C-841B-FB65A2E6364E}"/>
    <cellStyle name="Normal 4 2 2 5 2 6" xfId="2512" xr:uid="{00000000-0005-0000-0000-0000F4120000}"/>
    <cellStyle name="Normal 4 2 2 5 2 6 2" xfId="6795" xr:uid="{00000000-0005-0000-0000-0000F5120000}"/>
    <cellStyle name="Normal 4 2 2 5 2 6 2 2" xfId="15245" xr:uid="{47F408F0-56EE-4C2A-AD7D-E499D1EFFA7D}"/>
    <cellStyle name="Normal 4 2 2 5 2 6 2 3" xfId="23685" xr:uid="{D67DFCAD-12A9-4CAB-9F50-1FD8410870CF}"/>
    <cellStyle name="Normal 4 2 2 5 2 6 3" xfId="11027" xr:uid="{150F60E6-929B-4118-BA8D-A55DC9619764}"/>
    <cellStyle name="Normal 4 2 2 5 2 6 4" xfId="19468" xr:uid="{89FC9B3E-4BD4-4CD0-8F45-9E84CB06EE91}"/>
    <cellStyle name="Normal 4 2 2 5 2 7" xfId="4730" xr:uid="{00000000-0005-0000-0000-0000F6120000}"/>
    <cellStyle name="Normal 4 2 2 5 2 7 2" xfId="13180" xr:uid="{B0925A51-FDF3-4923-8B58-31241675B60F}"/>
    <cellStyle name="Normal 4 2 2 5 2 7 3" xfId="21620" xr:uid="{876C9C99-023F-4E26-BA5B-EFDB63CDA9F6}"/>
    <cellStyle name="Normal 4 2 2 5 2 8" xfId="8962" xr:uid="{50919689-3582-4EA1-8656-D8CB1E506ECF}"/>
    <cellStyle name="Normal 4 2 2 5 2 9" xfId="17403" xr:uid="{F08C5C7B-A867-44BC-A1DE-883FCDAC2BE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1126C121-F518-4176-A77D-9FBD92FB0566}"/>
    <cellStyle name="Normal 4 2 2 5 3 2 2 3" xfId="24177" xr:uid="{34817BB4-7CDA-42F1-971D-E0C1B2A7CB45}"/>
    <cellStyle name="Normal 4 2 2 5 3 2 3" xfId="11519" xr:uid="{57CDAA64-DEE1-47D8-ADC0-DF37B96B513C}"/>
    <cellStyle name="Normal 4 2 2 5 3 2 4" xfId="19960" xr:uid="{57C08F96-36E3-4E70-AC19-BE7BCFD36241}"/>
    <cellStyle name="Normal 4 2 2 5 3 3" xfId="5142" xr:uid="{00000000-0005-0000-0000-0000FA120000}"/>
    <cellStyle name="Normal 4 2 2 5 3 3 2" xfId="13592" xr:uid="{53304CA0-1999-4466-A028-E68AC8C78D83}"/>
    <cellStyle name="Normal 4 2 2 5 3 3 3" xfId="22032" xr:uid="{F0DFFA1A-3CFD-483E-B81D-333CC1545B91}"/>
    <cellStyle name="Normal 4 2 2 5 3 4" xfId="9374" xr:uid="{AC7AF224-5758-4302-862F-12752AE8C4B9}"/>
    <cellStyle name="Normal 4 2 2 5 3 5" xfId="17815" xr:uid="{ED614C65-9F16-4C9D-B794-386505D7443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C9782B57-4876-43EF-B8DC-2D40DFDCC32C}"/>
    <cellStyle name="Normal 4 2 2 5 4 2 2 3" xfId="24590" xr:uid="{7A0723AE-076C-4F61-8CA1-59CB41A27324}"/>
    <cellStyle name="Normal 4 2 2 5 4 2 3" xfId="11932" xr:uid="{D0DF385A-FF8B-4F74-8BF4-6ADA0DEFF3B8}"/>
    <cellStyle name="Normal 4 2 2 5 4 2 4" xfId="20373" xr:uid="{E682E284-F53D-48B2-BD68-2FC16E944CBD}"/>
    <cellStyle name="Normal 4 2 2 5 4 3" xfId="5555" xr:uid="{00000000-0005-0000-0000-0000FE120000}"/>
    <cellStyle name="Normal 4 2 2 5 4 3 2" xfId="14005" xr:uid="{A1563893-A1E1-4339-BEAB-1D59BF9F8DC9}"/>
    <cellStyle name="Normal 4 2 2 5 4 3 3" xfId="22445" xr:uid="{0AE14980-9BD8-4CEE-A339-DF4F7F1721C0}"/>
    <cellStyle name="Normal 4 2 2 5 4 4" xfId="9787" xr:uid="{A17407B8-EE62-4F55-A9F2-412ED393C7F7}"/>
    <cellStyle name="Normal 4 2 2 5 4 5" xfId="18228" xr:uid="{F6829105-455C-4EE7-A24C-8BD6E0AFC1B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06685C87-2D2B-4A71-81AF-3775F4BDF1B6}"/>
    <cellStyle name="Normal 4 2 2 5 5 2 2 3" xfId="25003" xr:uid="{F8527EFD-08C8-44C8-BE44-0D956C12B109}"/>
    <cellStyle name="Normal 4 2 2 5 5 2 3" xfId="12345" xr:uid="{B4118628-B8A9-4C43-B7C9-9B4BAF5898CB}"/>
    <cellStyle name="Normal 4 2 2 5 5 2 4" xfId="20786" xr:uid="{36F5F6C3-FFDD-4C22-8B7D-E5E84F658C18}"/>
    <cellStyle name="Normal 4 2 2 5 5 3" xfId="5968" xr:uid="{00000000-0005-0000-0000-000002130000}"/>
    <cellStyle name="Normal 4 2 2 5 5 3 2" xfId="14418" xr:uid="{C8DB91AA-5A0D-426E-87CB-9B4463349D85}"/>
    <cellStyle name="Normal 4 2 2 5 5 3 3" xfId="22858" xr:uid="{61F05917-7E94-4559-91FC-5691892F692A}"/>
    <cellStyle name="Normal 4 2 2 5 5 4" xfId="10200" xr:uid="{E0AE11F8-443C-4B8B-A554-A165A5BDC0F9}"/>
    <cellStyle name="Normal 4 2 2 5 5 5" xfId="18641" xr:uid="{3F10614A-063D-4DC5-BE7B-EBAF9277D82C}"/>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0A0E3361-92E6-49DC-AACF-2783F91A19AB}"/>
    <cellStyle name="Normal 4 2 2 5 6 2 2 3" xfId="25416" xr:uid="{77848AA9-EC97-4462-BFD3-75A6D6506BED}"/>
    <cellStyle name="Normal 4 2 2 5 6 2 3" xfId="12758" xr:uid="{EF2DEAD4-BBDC-4614-8768-C763EB072B84}"/>
    <cellStyle name="Normal 4 2 2 5 6 2 4" xfId="21199" xr:uid="{DD0A8948-B5E4-42FC-8F95-9E8A0D290A12}"/>
    <cellStyle name="Normal 4 2 2 5 6 3" xfId="6381" xr:uid="{00000000-0005-0000-0000-000006130000}"/>
    <cellStyle name="Normal 4 2 2 5 6 3 2" xfId="14831" xr:uid="{ADC63F44-161C-46DF-829D-19E540513244}"/>
    <cellStyle name="Normal 4 2 2 5 6 3 3" xfId="23271" xr:uid="{175D51E7-C0B0-41BE-A753-7BD91AF7954A}"/>
    <cellStyle name="Normal 4 2 2 5 6 4" xfId="10613" xr:uid="{DA94FA5D-9747-44D7-A98E-DDF63B53DF85}"/>
    <cellStyle name="Normal 4 2 2 5 6 5" xfId="19054" xr:uid="{91602F2F-74D9-4F6C-BF9E-3C51E18B2FA4}"/>
    <cellStyle name="Normal 4 2 2 5 7" xfId="2511" xr:uid="{00000000-0005-0000-0000-000007130000}"/>
    <cellStyle name="Normal 4 2 2 5 7 2" xfId="6794" xr:uid="{00000000-0005-0000-0000-000008130000}"/>
    <cellStyle name="Normal 4 2 2 5 7 2 2" xfId="15244" xr:uid="{7FCF83D4-9596-48D5-B6B6-B35DCB4AD4B7}"/>
    <cellStyle name="Normal 4 2 2 5 7 2 3" xfId="23684" xr:uid="{FDB53C45-C707-41F3-B47A-C71763CD05EE}"/>
    <cellStyle name="Normal 4 2 2 5 7 3" xfId="11026" xr:uid="{FC04C5B3-6994-42E8-92E8-28A9FB775EC6}"/>
    <cellStyle name="Normal 4 2 2 5 7 4" xfId="19467" xr:uid="{8B0A84D8-9C25-4424-9E3A-BF92A075D135}"/>
    <cellStyle name="Normal 4 2 2 5 8" xfId="4729" xr:uid="{00000000-0005-0000-0000-000009130000}"/>
    <cellStyle name="Normal 4 2 2 5 8 2" xfId="13179" xr:uid="{29A87A20-6602-404C-A3FA-29A850596758}"/>
    <cellStyle name="Normal 4 2 2 5 8 3" xfId="21619" xr:uid="{A934017B-B669-4265-A2DA-A0EF9F55FAB6}"/>
    <cellStyle name="Normal 4 2 2 5 9" xfId="8961" xr:uid="{036B6D21-C275-4E88-B598-EA1ECFE99655}"/>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C3CC0C70-4C1D-4F4D-B42A-BEC13E70D3EA}"/>
    <cellStyle name="Normal 4 2 2 6 2 2 2 3" xfId="24179" xr:uid="{49114E41-9113-46B1-A495-80AAF03C8B8A}"/>
    <cellStyle name="Normal 4 2 2 6 2 2 3" xfId="11521" xr:uid="{E3D2039D-7F56-4E5D-B4BA-E3B6DDC82AB4}"/>
    <cellStyle name="Normal 4 2 2 6 2 2 4" xfId="19962" xr:uid="{41B459EA-B806-4DBD-A9FE-3297A0547E9E}"/>
    <cellStyle name="Normal 4 2 2 6 2 3" xfId="5144" xr:uid="{00000000-0005-0000-0000-00000E130000}"/>
    <cellStyle name="Normal 4 2 2 6 2 3 2" xfId="13594" xr:uid="{C92F70BA-3F0C-4E60-9B53-4CD5F3E0BFF3}"/>
    <cellStyle name="Normal 4 2 2 6 2 3 3" xfId="22034" xr:uid="{B3E7C860-B3C2-49B9-B14A-DFE577EAD6E6}"/>
    <cellStyle name="Normal 4 2 2 6 2 4" xfId="9376" xr:uid="{5DBCD72D-00E8-44AA-B3AF-E1B31D3B3719}"/>
    <cellStyle name="Normal 4 2 2 6 2 5" xfId="17817" xr:uid="{2F670AB6-D954-440F-8B25-885ABD83A700}"/>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E2B62226-B14E-4BE0-A6E5-7518DAFD3F23}"/>
    <cellStyle name="Normal 4 2 2 6 3 2 2 3" xfId="24592" xr:uid="{95C38C8E-5632-4E7B-B758-8A70FABBF4B7}"/>
    <cellStyle name="Normal 4 2 2 6 3 2 3" xfId="11934" xr:uid="{6F25FB96-4FCA-4C72-BE0E-80530913E059}"/>
    <cellStyle name="Normal 4 2 2 6 3 2 4" xfId="20375" xr:uid="{40D0A0A0-B547-439A-BC51-098DC06350BD}"/>
    <cellStyle name="Normal 4 2 2 6 3 3" xfId="5557" xr:uid="{00000000-0005-0000-0000-000012130000}"/>
    <cellStyle name="Normal 4 2 2 6 3 3 2" xfId="14007" xr:uid="{50EA03DD-BDFF-4697-AC37-F118CDA5A9E3}"/>
    <cellStyle name="Normal 4 2 2 6 3 3 3" xfId="22447" xr:uid="{E2477AFB-3BAA-48B1-B002-19D18071F537}"/>
    <cellStyle name="Normal 4 2 2 6 3 4" xfId="9789" xr:uid="{C86548DD-0486-43A0-A951-FA16E5C70AAE}"/>
    <cellStyle name="Normal 4 2 2 6 3 5" xfId="18230" xr:uid="{DB59746C-B3E1-4062-8A3D-4CB59AB9E0B4}"/>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316CB250-39A0-4437-988B-202091A451CA}"/>
    <cellStyle name="Normal 4 2 2 6 4 2 2 3" xfId="25005" xr:uid="{2C4A11EE-D3C7-4FED-9857-5CC16DE75EA9}"/>
    <cellStyle name="Normal 4 2 2 6 4 2 3" xfId="12347" xr:uid="{D5F86E57-44FF-47A1-8FC8-B4ED077C553D}"/>
    <cellStyle name="Normal 4 2 2 6 4 2 4" xfId="20788" xr:uid="{7E6DC158-5616-48E1-BA16-45C046AC0FE5}"/>
    <cellStyle name="Normal 4 2 2 6 4 3" xfId="5970" xr:uid="{00000000-0005-0000-0000-000016130000}"/>
    <cellStyle name="Normal 4 2 2 6 4 3 2" xfId="14420" xr:uid="{1DD88468-D96E-47C9-8AC6-FE30BA7418A5}"/>
    <cellStyle name="Normal 4 2 2 6 4 3 3" xfId="22860" xr:uid="{04873EEB-2FBB-4B5E-B1FB-39D941C50742}"/>
    <cellStyle name="Normal 4 2 2 6 4 4" xfId="10202" xr:uid="{D9795F67-42B8-41F2-871D-888244C0B8CF}"/>
    <cellStyle name="Normal 4 2 2 6 4 5" xfId="18643" xr:uid="{EEC56B1E-313E-4E65-B57C-28AEC5491DD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4A1181A9-CEBF-4E6A-A709-2C42F2B4D30B}"/>
    <cellStyle name="Normal 4 2 2 6 5 2 2 3" xfId="25418" xr:uid="{25D73232-A2F0-4FDB-930E-1BE7F8E45260}"/>
    <cellStyle name="Normal 4 2 2 6 5 2 3" xfId="12760" xr:uid="{2027D613-A531-4EEC-ACE5-DF179A9F7228}"/>
    <cellStyle name="Normal 4 2 2 6 5 2 4" xfId="21201" xr:uid="{ECA84427-38A5-4B7F-82D9-066404CF75F0}"/>
    <cellStyle name="Normal 4 2 2 6 5 3" xfId="6383" xr:uid="{00000000-0005-0000-0000-00001A130000}"/>
    <cellStyle name="Normal 4 2 2 6 5 3 2" xfId="14833" xr:uid="{8DB61A69-04C1-42C5-BB46-893E758FE380}"/>
    <cellStyle name="Normal 4 2 2 6 5 3 3" xfId="23273" xr:uid="{436091E1-1B6B-4E17-B9D2-577F52B87699}"/>
    <cellStyle name="Normal 4 2 2 6 5 4" xfId="10615" xr:uid="{6C081510-8545-458F-BD7E-A563F186C8A2}"/>
    <cellStyle name="Normal 4 2 2 6 5 5" xfId="19056" xr:uid="{4C9828AD-F89B-4A1E-A085-AA80EF0FF84C}"/>
    <cellStyle name="Normal 4 2 2 6 6" xfId="2513" xr:uid="{00000000-0005-0000-0000-00001B130000}"/>
    <cellStyle name="Normal 4 2 2 6 6 2" xfId="6796" xr:uid="{00000000-0005-0000-0000-00001C130000}"/>
    <cellStyle name="Normal 4 2 2 6 6 2 2" xfId="15246" xr:uid="{BECFB822-B69F-4CAA-8698-0E52BEEDDD3E}"/>
    <cellStyle name="Normal 4 2 2 6 6 2 3" xfId="23686" xr:uid="{1C472814-D412-463E-BF68-2638827F045E}"/>
    <cellStyle name="Normal 4 2 2 6 6 3" xfId="11028" xr:uid="{896F3ABC-4348-4082-AE15-4AF30A546687}"/>
    <cellStyle name="Normal 4 2 2 6 6 4" xfId="19469" xr:uid="{DC76B59F-5FE9-4679-8E9D-7993DDF91286}"/>
    <cellStyle name="Normal 4 2 2 6 7" xfId="4731" xr:uid="{00000000-0005-0000-0000-00001D130000}"/>
    <cellStyle name="Normal 4 2 2 6 7 2" xfId="13181" xr:uid="{50C82327-21DA-45CC-997D-339DAD75B305}"/>
    <cellStyle name="Normal 4 2 2 6 7 3" xfId="21621" xr:uid="{02220FDE-F79A-4B72-938C-F66A5B4B609D}"/>
    <cellStyle name="Normal 4 2 2 6 8" xfId="8963" xr:uid="{A3873474-BD7D-472E-9867-844B53A4563B}"/>
    <cellStyle name="Normal 4 2 2 6 9" xfId="17404" xr:uid="{6215B959-4D6E-454A-A926-42C96805350F}"/>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2E75C93A-7EEF-4A6D-9379-0D50DC47A867}"/>
    <cellStyle name="Normal 4 2 2 7 2 2 3" xfId="24164" xr:uid="{A6035623-4C5F-4917-9A37-4973AF7C29B3}"/>
    <cellStyle name="Normal 4 2 2 7 2 3" xfId="11506" xr:uid="{4A562771-F2A8-405C-A093-99C330E1E991}"/>
    <cellStyle name="Normal 4 2 2 7 2 4" xfId="19947" xr:uid="{0E205501-7F01-41A6-8AD1-E663E0F4871B}"/>
    <cellStyle name="Normal 4 2 2 7 3" xfId="5129" xr:uid="{00000000-0005-0000-0000-000021130000}"/>
    <cellStyle name="Normal 4 2 2 7 3 2" xfId="13579" xr:uid="{8D79C8C6-0503-48EF-A9C9-7F6ABF7B08AB}"/>
    <cellStyle name="Normal 4 2 2 7 3 3" xfId="22019" xr:uid="{3AF9FDE3-E78C-4C6E-B741-5DA1E08A0891}"/>
    <cellStyle name="Normal 4 2 2 7 4" xfId="9361" xr:uid="{F53FAE99-1175-41B3-9B04-782F156E6EB5}"/>
    <cellStyle name="Normal 4 2 2 7 5" xfId="17802" xr:uid="{D486F343-B514-43E8-94B9-8BC666B28F9D}"/>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1C805429-F941-439E-8B66-5CC12659F4BE}"/>
    <cellStyle name="Normal 4 2 2 8 2 2 3" xfId="24577" xr:uid="{1C7B0734-8CF9-4983-AF1D-20CE3EB9C12F}"/>
    <cellStyle name="Normal 4 2 2 8 2 3" xfId="11919" xr:uid="{C3B6D427-1A91-4DFF-B90A-D4087A7A6F92}"/>
    <cellStyle name="Normal 4 2 2 8 2 4" xfId="20360" xr:uid="{272AA14F-F74C-45D0-B845-D58E418BB57F}"/>
    <cellStyle name="Normal 4 2 2 8 3" xfId="5542" xr:uid="{00000000-0005-0000-0000-000025130000}"/>
    <cellStyle name="Normal 4 2 2 8 3 2" xfId="13992" xr:uid="{687818F4-FB2B-46C0-81C2-7C9F1651E658}"/>
    <cellStyle name="Normal 4 2 2 8 3 3" xfId="22432" xr:uid="{A6ED2B3B-B299-4F2A-8DF4-44341C1F6EB6}"/>
    <cellStyle name="Normal 4 2 2 8 4" xfId="9774" xr:uid="{962A784E-74D3-4B08-8BFB-D4EBD64A1F5E}"/>
    <cellStyle name="Normal 4 2 2 8 5" xfId="18215" xr:uid="{DDF85E68-6979-46A7-B6E9-8ACD532985C8}"/>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CDE8DD49-E5B0-481B-9ADC-6E47482D21FE}"/>
    <cellStyle name="Normal 4 2 2 9 2 2 3" xfId="24990" xr:uid="{F8BA2DF6-0F96-4869-B9B7-AA79DBE5A6BE}"/>
    <cellStyle name="Normal 4 2 2 9 2 3" xfId="12332" xr:uid="{0FFFE5F0-F935-4532-B4EC-C19CB015C993}"/>
    <cellStyle name="Normal 4 2 2 9 2 4" xfId="20773" xr:uid="{01100572-0580-43A1-9048-5B3CB77DFE61}"/>
    <cellStyle name="Normal 4 2 2 9 3" xfId="5955" xr:uid="{00000000-0005-0000-0000-000029130000}"/>
    <cellStyle name="Normal 4 2 2 9 3 2" xfId="14405" xr:uid="{B65056A5-6423-4C9F-9AC2-90DBDB45962E}"/>
    <cellStyle name="Normal 4 2 2 9 3 3" xfId="22845" xr:uid="{8A06F1A4-25E1-49BC-A288-911973291746}"/>
    <cellStyle name="Normal 4 2 2 9 4" xfId="10187" xr:uid="{AE70BF0D-BE70-415B-A663-F5FE468FC205}"/>
    <cellStyle name="Normal 4 2 2 9 5" xfId="18628" xr:uid="{62CAB240-203F-49B0-96C1-C5CC42488804}"/>
    <cellStyle name="Normal 4 2 3" xfId="354" xr:uid="{00000000-0005-0000-0000-00002A130000}"/>
    <cellStyle name="Normal 4 2 4" xfId="355" xr:uid="{00000000-0005-0000-0000-00002B130000}"/>
    <cellStyle name="Normal 4 2 4 10" xfId="4732" xr:uid="{00000000-0005-0000-0000-00002C130000}"/>
    <cellStyle name="Normal 4 2 4 10 2" xfId="13182" xr:uid="{016F4A03-012B-4857-B0F8-FE1032BC0760}"/>
    <cellStyle name="Normal 4 2 4 10 3" xfId="21622" xr:uid="{061D76F8-C306-4E12-A82B-833F846FF62E}"/>
    <cellStyle name="Normal 4 2 4 11" xfId="8964" xr:uid="{2977A08F-8E1B-4440-AB3B-BDBE8EBC30A1}"/>
    <cellStyle name="Normal 4 2 4 12" xfId="17405" xr:uid="{EEB5522E-29C0-4682-8E78-571DB39E5AE6}"/>
    <cellStyle name="Normal 4 2 4 2" xfId="356" xr:uid="{00000000-0005-0000-0000-00002D130000}"/>
    <cellStyle name="Normal 4 2 4 2 10" xfId="8965" xr:uid="{A5C5D260-39EA-4C65-A28E-430741887BEB}"/>
    <cellStyle name="Normal 4 2 4 2 11" xfId="17406" xr:uid="{CE8F148D-2BA7-4C49-9525-EAF3CC1C9F15}"/>
    <cellStyle name="Normal 4 2 4 2 2" xfId="357" xr:uid="{00000000-0005-0000-0000-00002E130000}"/>
    <cellStyle name="Normal 4 2 4 2 2 10" xfId="17407" xr:uid="{56F09708-C3E8-418E-8329-29D1167FF8BE}"/>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A3908A1B-CDBD-4F66-A9D0-2203EE2F381F}"/>
    <cellStyle name="Normal 4 2 4 2 2 2 2 2 2 3" xfId="24183" xr:uid="{33E55B54-2DFF-45EB-B242-694867583438}"/>
    <cellStyle name="Normal 4 2 4 2 2 2 2 2 3" xfId="11525" xr:uid="{20A2574E-AE87-47F1-93C8-8E3AFF78011A}"/>
    <cellStyle name="Normal 4 2 4 2 2 2 2 2 4" xfId="19966" xr:uid="{3729C830-90D6-467B-A2AB-3A7FD74CC5F9}"/>
    <cellStyle name="Normal 4 2 4 2 2 2 2 3" xfId="5148" xr:uid="{00000000-0005-0000-0000-000033130000}"/>
    <cellStyle name="Normal 4 2 4 2 2 2 2 3 2" xfId="13598" xr:uid="{40195951-E1F6-40D1-A819-3F6D6511F2B0}"/>
    <cellStyle name="Normal 4 2 4 2 2 2 2 3 3" xfId="22038" xr:uid="{9C53801C-592E-4513-9975-2E2BA5228670}"/>
    <cellStyle name="Normal 4 2 4 2 2 2 2 4" xfId="9380" xr:uid="{758520A0-0430-4119-AD31-22C032FF2ED7}"/>
    <cellStyle name="Normal 4 2 4 2 2 2 2 5" xfId="17821" xr:uid="{9EE2DFDE-5CC5-44B3-9581-DC7E7A15B90A}"/>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D0276237-923A-4DC7-BEC9-0605F5F74FA2}"/>
    <cellStyle name="Normal 4 2 4 2 2 2 3 2 2 3" xfId="24596" xr:uid="{FA6E1740-635F-4988-A69E-9EF748B5626D}"/>
    <cellStyle name="Normal 4 2 4 2 2 2 3 2 3" xfId="11938" xr:uid="{0095DFDE-2122-45C2-977E-2B63BE849F38}"/>
    <cellStyle name="Normal 4 2 4 2 2 2 3 2 4" xfId="20379" xr:uid="{D4077645-2094-4496-8FE2-BC98CAD15DD4}"/>
    <cellStyle name="Normal 4 2 4 2 2 2 3 3" xfId="5561" xr:uid="{00000000-0005-0000-0000-000037130000}"/>
    <cellStyle name="Normal 4 2 4 2 2 2 3 3 2" xfId="14011" xr:uid="{D08E6D25-18D9-47FB-97C1-0627CCA675F8}"/>
    <cellStyle name="Normal 4 2 4 2 2 2 3 3 3" xfId="22451" xr:uid="{CFB9113C-B22C-4854-B0DE-70AB015DCE57}"/>
    <cellStyle name="Normal 4 2 4 2 2 2 3 4" xfId="9793" xr:uid="{3012C6A4-14C7-4092-9C1D-F44977E884C1}"/>
    <cellStyle name="Normal 4 2 4 2 2 2 3 5" xfId="18234" xr:uid="{78607384-DA61-4D7A-A9CF-01E078FA3F25}"/>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5CDF12A9-FAFB-4041-9446-48E30B2A3EB1}"/>
    <cellStyle name="Normal 4 2 4 2 2 2 4 2 2 3" xfId="25009" xr:uid="{465CF27C-328C-4579-9CAE-B8D45E589C1E}"/>
    <cellStyle name="Normal 4 2 4 2 2 2 4 2 3" xfId="12351" xr:uid="{BE089324-4B90-4C11-AA4C-E1C5BD3CF305}"/>
    <cellStyle name="Normal 4 2 4 2 2 2 4 2 4" xfId="20792" xr:uid="{44F1BA0F-B852-49BE-AD74-2CAC97C39179}"/>
    <cellStyle name="Normal 4 2 4 2 2 2 4 3" xfId="5974" xr:uid="{00000000-0005-0000-0000-00003B130000}"/>
    <cellStyle name="Normal 4 2 4 2 2 2 4 3 2" xfId="14424" xr:uid="{61C3A29F-D098-4E46-87D1-666F5947106A}"/>
    <cellStyle name="Normal 4 2 4 2 2 2 4 3 3" xfId="22864" xr:uid="{CEAF56EC-73C2-4CFE-815C-2C97D63391BE}"/>
    <cellStyle name="Normal 4 2 4 2 2 2 4 4" xfId="10206" xr:uid="{0FB1BBE1-3A72-45FD-84B4-233B90D37689}"/>
    <cellStyle name="Normal 4 2 4 2 2 2 4 5" xfId="18647" xr:uid="{478C4B04-B06F-4777-9970-D72D600897D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C76C3FF9-7AFD-4BA3-9AF9-0A84367C14FA}"/>
    <cellStyle name="Normal 4 2 4 2 2 2 5 2 2 3" xfId="25422" xr:uid="{52434D0A-D5F5-4B9E-924E-3C3673D93D99}"/>
    <cellStyle name="Normal 4 2 4 2 2 2 5 2 3" xfId="12764" xr:uid="{0D71462F-9867-4CE0-997D-0183E2A62E82}"/>
    <cellStyle name="Normal 4 2 4 2 2 2 5 2 4" xfId="21205" xr:uid="{F995DFC1-1B83-4CE8-B00E-4E7007E5003F}"/>
    <cellStyle name="Normal 4 2 4 2 2 2 5 3" xfId="6387" xr:uid="{00000000-0005-0000-0000-00003F130000}"/>
    <cellStyle name="Normal 4 2 4 2 2 2 5 3 2" xfId="14837" xr:uid="{7E81D03B-D6EA-4AEC-85BA-CC37B4226FE2}"/>
    <cellStyle name="Normal 4 2 4 2 2 2 5 3 3" xfId="23277" xr:uid="{EAB6F52F-0C7D-47CD-B625-924F5E309282}"/>
    <cellStyle name="Normal 4 2 4 2 2 2 5 4" xfId="10619" xr:uid="{AC0ABCA2-0673-4158-A4FA-CB02E0626893}"/>
    <cellStyle name="Normal 4 2 4 2 2 2 5 5" xfId="19060" xr:uid="{DE62988E-1027-4B7C-A9F9-E8C77581C61E}"/>
    <cellStyle name="Normal 4 2 4 2 2 2 6" xfId="2517" xr:uid="{00000000-0005-0000-0000-000040130000}"/>
    <cellStyle name="Normal 4 2 4 2 2 2 6 2" xfId="6800" xr:uid="{00000000-0005-0000-0000-000041130000}"/>
    <cellStyle name="Normal 4 2 4 2 2 2 6 2 2" xfId="15250" xr:uid="{474CBAFE-8D2C-495C-BAE6-8D17D0D6A3A8}"/>
    <cellStyle name="Normal 4 2 4 2 2 2 6 2 3" xfId="23690" xr:uid="{7D59C33E-D1F4-4A92-B24B-1E2188C0D746}"/>
    <cellStyle name="Normal 4 2 4 2 2 2 6 3" xfId="11032" xr:uid="{501FED1D-54E7-499F-BDED-BC6966FC4967}"/>
    <cellStyle name="Normal 4 2 4 2 2 2 6 4" xfId="19473" xr:uid="{BD67B858-D73E-4888-969A-88B0FE451873}"/>
    <cellStyle name="Normal 4 2 4 2 2 2 7" xfId="4735" xr:uid="{00000000-0005-0000-0000-000042130000}"/>
    <cellStyle name="Normal 4 2 4 2 2 2 7 2" xfId="13185" xr:uid="{FCF9EBDF-93A3-4DC3-B6D8-CDD0F691AE07}"/>
    <cellStyle name="Normal 4 2 4 2 2 2 7 3" xfId="21625" xr:uid="{76F0C17D-5BE1-44BD-95AD-8DBD176AE193}"/>
    <cellStyle name="Normal 4 2 4 2 2 2 8" xfId="8967" xr:uid="{E7BB17B6-04C6-4E2D-8DDC-DB9CFDA1AE48}"/>
    <cellStyle name="Normal 4 2 4 2 2 2 9" xfId="17408" xr:uid="{94C37C2E-F498-4711-99C2-7A3C73982F7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DF5F4F71-78BC-4663-B105-705D20138A28}"/>
    <cellStyle name="Normal 4 2 4 2 2 3 2 2 3" xfId="24182" xr:uid="{7CDDE323-1E66-4B90-9905-7A53789556BB}"/>
    <cellStyle name="Normal 4 2 4 2 2 3 2 3" xfId="11524" xr:uid="{B3D77362-3376-4C96-81AA-3AC38792DB9A}"/>
    <cellStyle name="Normal 4 2 4 2 2 3 2 4" xfId="19965" xr:uid="{EF98B726-BC0F-4E67-85E4-B235D25D3057}"/>
    <cellStyle name="Normal 4 2 4 2 2 3 3" xfId="5147" xr:uid="{00000000-0005-0000-0000-000046130000}"/>
    <cellStyle name="Normal 4 2 4 2 2 3 3 2" xfId="13597" xr:uid="{6579C016-8F22-43E5-ACA7-0D352CBFA856}"/>
    <cellStyle name="Normal 4 2 4 2 2 3 3 3" xfId="22037" xr:uid="{92011BD0-F690-4469-A455-C4D3DDF6A221}"/>
    <cellStyle name="Normal 4 2 4 2 2 3 4" xfId="9379" xr:uid="{1A16E71B-5F0F-4746-B71B-0EFBCFD3162D}"/>
    <cellStyle name="Normal 4 2 4 2 2 3 5" xfId="17820" xr:uid="{BC6542F6-5EAD-4F67-9429-608918584B6A}"/>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A4CB7C9D-00CE-4C71-ADE9-A75D999494DA}"/>
    <cellStyle name="Normal 4 2 4 2 2 4 2 2 3" xfId="24595" xr:uid="{6B982BA2-3E28-4447-BB6B-856E04A5E686}"/>
    <cellStyle name="Normal 4 2 4 2 2 4 2 3" xfId="11937" xr:uid="{21B7B907-8064-4CCE-ADF6-6B6970B9C10C}"/>
    <cellStyle name="Normal 4 2 4 2 2 4 2 4" xfId="20378" xr:uid="{BF15456E-CDE4-44EE-BE95-39383B8950C4}"/>
    <cellStyle name="Normal 4 2 4 2 2 4 3" xfId="5560" xr:uid="{00000000-0005-0000-0000-00004A130000}"/>
    <cellStyle name="Normal 4 2 4 2 2 4 3 2" xfId="14010" xr:uid="{95A34880-69BC-48C2-8FB7-E34F5BD4C10F}"/>
    <cellStyle name="Normal 4 2 4 2 2 4 3 3" xfId="22450" xr:uid="{138A70AB-A040-4FFC-97F6-6DC64BED02C9}"/>
    <cellStyle name="Normal 4 2 4 2 2 4 4" xfId="9792" xr:uid="{527F6C02-AF94-4561-A094-5C075B409067}"/>
    <cellStyle name="Normal 4 2 4 2 2 4 5" xfId="18233" xr:uid="{97CFF8EA-F4D2-41D4-8630-68A78AF45E2A}"/>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C0F07997-43D3-452B-9178-5EE479B1DE54}"/>
    <cellStyle name="Normal 4 2 4 2 2 5 2 2 3" xfId="25008" xr:uid="{EA11DE53-34B4-482F-B280-1D694B27AADC}"/>
    <cellStyle name="Normal 4 2 4 2 2 5 2 3" xfId="12350" xr:uid="{EC481E00-F539-4C1B-879D-7A70A7CD6C6D}"/>
    <cellStyle name="Normal 4 2 4 2 2 5 2 4" xfId="20791" xr:uid="{0AB74D16-0D25-4A3B-8C80-305DC78E3150}"/>
    <cellStyle name="Normal 4 2 4 2 2 5 3" xfId="5973" xr:uid="{00000000-0005-0000-0000-00004E130000}"/>
    <cellStyle name="Normal 4 2 4 2 2 5 3 2" xfId="14423" xr:uid="{004501F8-5C7B-4C97-9451-6B2ED080F8FD}"/>
    <cellStyle name="Normal 4 2 4 2 2 5 3 3" xfId="22863" xr:uid="{0838C356-FE32-4866-8461-0C4FC5845E12}"/>
    <cellStyle name="Normal 4 2 4 2 2 5 4" xfId="10205" xr:uid="{F688E36D-5485-42CD-832F-C877ECF9BF3A}"/>
    <cellStyle name="Normal 4 2 4 2 2 5 5" xfId="18646" xr:uid="{901EE09E-B2BD-49F4-A664-CADD861C6F2E}"/>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C42E0F2-0993-48AB-8C9E-DD80E6E491D7}"/>
    <cellStyle name="Normal 4 2 4 2 2 6 2 2 3" xfId="25421" xr:uid="{7F4DA611-A8A3-45D5-A228-24C0135FECC3}"/>
    <cellStyle name="Normal 4 2 4 2 2 6 2 3" xfId="12763" xr:uid="{02DC65E3-74BF-4D0A-B1C3-035425A0A1C5}"/>
    <cellStyle name="Normal 4 2 4 2 2 6 2 4" xfId="21204" xr:uid="{15C8AACC-E56D-4F6B-B8F2-0F49CC9D7309}"/>
    <cellStyle name="Normal 4 2 4 2 2 6 3" xfId="6386" xr:uid="{00000000-0005-0000-0000-000052130000}"/>
    <cellStyle name="Normal 4 2 4 2 2 6 3 2" xfId="14836" xr:uid="{577E169D-CE78-4FC2-AD9A-6D4C8BC45DE9}"/>
    <cellStyle name="Normal 4 2 4 2 2 6 3 3" xfId="23276" xr:uid="{DD5D1734-D670-491E-846E-BF726FFF7BEE}"/>
    <cellStyle name="Normal 4 2 4 2 2 6 4" xfId="10618" xr:uid="{0548E550-3333-488F-A83E-2ABC735570EB}"/>
    <cellStyle name="Normal 4 2 4 2 2 6 5" xfId="19059" xr:uid="{72EF0EC5-D4D4-413F-9C13-9F7B16557563}"/>
    <cellStyle name="Normal 4 2 4 2 2 7" xfId="2516" xr:uid="{00000000-0005-0000-0000-000053130000}"/>
    <cellStyle name="Normal 4 2 4 2 2 7 2" xfId="6799" xr:uid="{00000000-0005-0000-0000-000054130000}"/>
    <cellStyle name="Normal 4 2 4 2 2 7 2 2" xfId="15249" xr:uid="{90A7EC17-13B8-4D07-88F0-4329B9EF348E}"/>
    <cellStyle name="Normal 4 2 4 2 2 7 2 3" xfId="23689" xr:uid="{EDB0BEC6-248A-4650-9CC7-84437E5399A0}"/>
    <cellStyle name="Normal 4 2 4 2 2 7 3" xfId="11031" xr:uid="{9B45101E-8781-4540-9990-29D795A41811}"/>
    <cellStyle name="Normal 4 2 4 2 2 7 4" xfId="19472" xr:uid="{8ED1A9A1-3D25-4C66-B651-52F98874AECC}"/>
    <cellStyle name="Normal 4 2 4 2 2 8" xfId="4734" xr:uid="{00000000-0005-0000-0000-000055130000}"/>
    <cellStyle name="Normal 4 2 4 2 2 8 2" xfId="13184" xr:uid="{AFDD80F7-8FAB-471C-B4A7-6308D9CCC090}"/>
    <cellStyle name="Normal 4 2 4 2 2 8 3" xfId="21624" xr:uid="{A55FE3B5-E096-4B74-B26E-35BD86AC5489}"/>
    <cellStyle name="Normal 4 2 4 2 2 9" xfId="8966" xr:uid="{0B70E737-5AAA-48E4-984B-EC8B8C815A91}"/>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85398E43-D234-48B8-A4CE-123AEDC21F40}"/>
    <cellStyle name="Normal 4 2 4 2 3 2 2 2 3" xfId="24184" xr:uid="{094FC800-8F2D-4E40-B900-DF2AF7138CDC}"/>
    <cellStyle name="Normal 4 2 4 2 3 2 2 3" xfId="11526" xr:uid="{01AAF10E-6CF5-44E3-8E8E-4E925435B481}"/>
    <cellStyle name="Normal 4 2 4 2 3 2 2 4" xfId="19967" xr:uid="{0739A23B-7EE2-4723-ACC7-A9AE9E3C0F58}"/>
    <cellStyle name="Normal 4 2 4 2 3 2 3" xfId="5149" xr:uid="{00000000-0005-0000-0000-00005A130000}"/>
    <cellStyle name="Normal 4 2 4 2 3 2 3 2" xfId="13599" xr:uid="{D6C44A01-A3E5-43BD-888C-D76984DFF0C1}"/>
    <cellStyle name="Normal 4 2 4 2 3 2 3 3" xfId="22039" xr:uid="{2A81668A-C619-4AB7-907B-909E2940E79C}"/>
    <cellStyle name="Normal 4 2 4 2 3 2 4" xfId="9381" xr:uid="{3A6CB53C-8884-4ED9-A2D7-868848DA4B8C}"/>
    <cellStyle name="Normal 4 2 4 2 3 2 5" xfId="17822" xr:uid="{6C2B7000-EAEF-463B-A455-F29DA4236B9A}"/>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FF4F21BC-8916-479E-8F4C-CC64CB62E987}"/>
    <cellStyle name="Normal 4 2 4 2 3 3 2 2 3" xfId="24597" xr:uid="{C27D20C0-4666-4E78-A923-71EC15BC3BA9}"/>
    <cellStyle name="Normal 4 2 4 2 3 3 2 3" xfId="11939" xr:uid="{3BCE8F22-05F5-46E6-80B1-9D0728D80A3F}"/>
    <cellStyle name="Normal 4 2 4 2 3 3 2 4" xfId="20380" xr:uid="{2BDEFFB6-5BDA-4E71-B5AB-4DDBFF7B3D36}"/>
    <cellStyle name="Normal 4 2 4 2 3 3 3" xfId="5562" xr:uid="{00000000-0005-0000-0000-00005E130000}"/>
    <cellStyle name="Normal 4 2 4 2 3 3 3 2" xfId="14012" xr:uid="{51AC539A-F963-4871-8A49-E9DFF7C4E3C2}"/>
    <cellStyle name="Normal 4 2 4 2 3 3 3 3" xfId="22452" xr:uid="{F978E08A-52EF-4FA2-8CAD-A395DD5ADA92}"/>
    <cellStyle name="Normal 4 2 4 2 3 3 4" xfId="9794" xr:uid="{3519E50B-38BA-49D8-BF87-A63813217BC6}"/>
    <cellStyle name="Normal 4 2 4 2 3 3 5" xfId="18235" xr:uid="{40DA35A0-FED7-45F1-9087-E0FE74FBFCA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EDAAC92F-2472-4297-B1CF-052236842FA9}"/>
    <cellStyle name="Normal 4 2 4 2 3 4 2 2 3" xfId="25010" xr:uid="{082F82EE-1126-4A92-9AF1-5323B709253B}"/>
    <cellStyle name="Normal 4 2 4 2 3 4 2 3" xfId="12352" xr:uid="{67F09FBF-C299-4EE2-AAB5-F40246AFA701}"/>
    <cellStyle name="Normal 4 2 4 2 3 4 2 4" xfId="20793" xr:uid="{4959ED5E-35E2-489C-94CB-40F41E884736}"/>
    <cellStyle name="Normal 4 2 4 2 3 4 3" xfId="5975" xr:uid="{00000000-0005-0000-0000-000062130000}"/>
    <cellStyle name="Normal 4 2 4 2 3 4 3 2" xfId="14425" xr:uid="{AEA69331-A0B8-4447-84CE-9353C165E1AA}"/>
    <cellStyle name="Normal 4 2 4 2 3 4 3 3" xfId="22865" xr:uid="{59A24984-076E-41D6-9792-6F00DD7F6049}"/>
    <cellStyle name="Normal 4 2 4 2 3 4 4" xfId="10207" xr:uid="{D3109FC0-5B9E-4091-9BD7-C10BB45553CD}"/>
    <cellStyle name="Normal 4 2 4 2 3 4 5" xfId="18648" xr:uid="{B97D4945-D8EC-46A0-A608-89DE909A1FA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A6735AA6-6450-4FCB-83F8-5423D2C7F4CC}"/>
    <cellStyle name="Normal 4 2 4 2 3 5 2 2 3" xfId="25423" xr:uid="{9FB14C68-62B5-4C71-BF62-2E755321B007}"/>
    <cellStyle name="Normal 4 2 4 2 3 5 2 3" xfId="12765" xr:uid="{7BF02D75-9D74-4938-B11D-10CF4EB1ADA5}"/>
    <cellStyle name="Normal 4 2 4 2 3 5 2 4" xfId="21206" xr:uid="{FA6DC891-2727-47D6-BAF5-ABEFE5100372}"/>
    <cellStyle name="Normal 4 2 4 2 3 5 3" xfId="6388" xr:uid="{00000000-0005-0000-0000-000066130000}"/>
    <cellStyle name="Normal 4 2 4 2 3 5 3 2" xfId="14838" xr:uid="{AFDC501E-1231-4FF8-96D4-565F5E144929}"/>
    <cellStyle name="Normal 4 2 4 2 3 5 3 3" xfId="23278" xr:uid="{A90ED6D6-2943-4AB1-8605-7931EEE669D5}"/>
    <cellStyle name="Normal 4 2 4 2 3 5 4" xfId="10620" xr:uid="{3D3D4C0D-71E0-4251-8FBA-BC43922CF48E}"/>
    <cellStyle name="Normal 4 2 4 2 3 5 5" xfId="19061" xr:uid="{7FF2A71F-740B-464A-9328-DB11A245F8BE}"/>
    <cellStyle name="Normal 4 2 4 2 3 6" xfId="2518" xr:uid="{00000000-0005-0000-0000-000067130000}"/>
    <cellStyle name="Normal 4 2 4 2 3 6 2" xfId="6801" xr:uid="{00000000-0005-0000-0000-000068130000}"/>
    <cellStyle name="Normal 4 2 4 2 3 6 2 2" xfId="15251" xr:uid="{310CA37F-517C-435D-9CCB-1E533FF5C618}"/>
    <cellStyle name="Normal 4 2 4 2 3 6 2 3" xfId="23691" xr:uid="{1520CC9F-BC8B-47DA-B351-F7F1A4118B92}"/>
    <cellStyle name="Normal 4 2 4 2 3 6 3" xfId="11033" xr:uid="{38B8CF91-61C4-41B3-ABDE-F37C4799653B}"/>
    <cellStyle name="Normal 4 2 4 2 3 6 4" xfId="19474" xr:uid="{9449C966-0781-4AE6-936E-9D2B0C6C7D54}"/>
    <cellStyle name="Normal 4 2 4 2 3 7" xfId="4736" xr:uid="{00000000-0005-0000-0000-000069130000}"/>
    <cellStyle name="Normal 4 2 4 2 3 7 2" xfId="13186" xr:uid="{FB7E6753-3706-4594-A12B-2801BA3613B1}"/>
    <cellStyle name="Normal 4 2 4 2 3 7 3" xfId="21626" xr:uid="{12E94FAE-7E7D-45FE-BDD9-44A61E3B5B95}"/>
    <cellStyle name="Normal 4 2 4 2 3 8" xfId="8968" xr:uid="{D78EB872-1D18-4A86-AC05-F6B0076ACF4F}"/>
    <cellStyle name="Normal 4 2 4 2 3 9" xfId="17409" xr:uid="{116ECAE0-6972-4440-89B5-89552B53C9D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F0DB0517-566B-4C4B-8024-87A43175F260}"/>
    <cellStyle name="Normal 4 2 4 2 4 2 2 3" xfId="24181" xr:uid="{CD186E24-805E-46F7-BFF6-F150D3D0D8C7}"/>
    <cellStyle name="Normal 4 2 4 2 4 2 3" xfId="11523" xr:uid="{D6894DED-9A9F-484B-BCE4-97F1E0DC6FF5}"/>
    <cellStyle name="Normal 4 2 4 2 4 2 4" xfId="19964" xr:uid="{856268EB-0ED0-4BFA-B54D-9FA6D1407F03}"/>
    <cellStyle name="Normal 4 2 4 2 4 3" xfId="5146" xr:uid="{00000000-0005-0000-0000-00006D130000}"/>
    <cellStyle name="Normal 4 2 4 2 4 3 2" xfId="13596" xr:uid="{D852E1CF-08F4-454F-913F-9F92166DFDD3}"/>
    <cellStyle name="Normal 4 2 4 2 4 3 3" xfId="22036" xr:uid="{E9830357-0209-4126-9B3E-35E0ECA0E0C9}"/>
    <cellStyle name="Normal 4 2 4 2 4 4" xfId="9378" xr:uid="{5B23340A-FE2E-4879-AF68-C246738F4EAB}"/>
    <cellStyle name="Normal 4 2 4 2 4 5" xfId="17819" xr:uid="{89274B2F-83AE-4B4A-9BE4-9BFA590ACF21}"/>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0A9E4D9E-80DC-4DD0-8FA8-F2E32198EA1B}"/>
    <cellStyle name="Normal 4 2 4 2 5 2 2 3" xfId="24594" xr:uid="{E69D3963-CC3B-4CD1-9B87-F2B74E7941AF}"/>
    <cellStyle name="Normal 4 2 4 2 5 2 3" xfId="11936" xr:uid="{269F4AC6-8934-4DF2-8521-6A6A36D24389}"/>
    <cellStyle name="Normal 4 2 4 2 5 2 4" xfId="20377" xr:uid="{1C5A12F2-A412-40A3-AF3B-B79D37AA1D43}"/>
    <cellStyle name="Normal 4 2 4 2 5 3" xfId="5559" xr:uid="{00000000-0005-0000-0000-000071130000}"/>
    <cellStyle name="Normal 4 2 4 2 5 3 2" xfId="14009" xr:uid="{52CB047B-3F77-49CC-837E-72869ADE8116}"/>
    <cellStyle name="Normal 4 2 4 2 5 3 3" xfId="22449" xr:uid="{56C78C54-490B-48DD-B906-D338D5A64B6C}"/>
    <cellStyle name="Normal 4 2 4 2 5 4" xfId="9791" xr:uid="{1C5E883D-B84A-43E4-9C3E-C138D7560BC4}"/>
    <cellStyle name="Normal 4 2 4 2 5 5" xfId="18232" xr:uid="{8F917E74-17C1-40F9-84F5-ADD28C2AF08B}"/>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9B27BD37-A91B-443A-A076-EAA149BBBEEF}"/>
    <cellStyle name="Normal 4 2 4 2 6 2 2 3" xfId="25007" xr:uid="{625418A3-CE24-4C87-A1B5-968481FAAA0F}"/>
    <cellStyle name="Normal 4 2 4 2 6 2 3" xfId="12349" xr:uid="{7A864F03-8BB2-4CB1-8C1E-0B1A8559A6F3}"/>
    <cellStyle name="Normal 4 2 4 2 6 2 4" xfId="20790" xr:uid="{AE9CE8AF-BDD5-4129-93D7-9F42B0C83AC6}"/>
    <cellStyle name="Normal 4 2 4 2 6 3" xfId="5972" xr:uid="{00000000-0005-0000-0000-000075130000}"/>
    <cellStyle name="Normal 4 2 4 2 6 3 2" xfId="14422" xr:uid="{27DDA312-12B4-4DE8-945F-08187D9CB772}"/>
    <cellStyle name="Normal 4 2 4 2 6 3 3" xfId="22862" xr:uid="{3FE443CC-E341-4D8D-B9B5-E19341DC3B69}"/>
    <cellStyle name="Normal 4 2 4 2 6 4" xfId="10204" xr:uid="{8BC4EBD4-5609-47C1-96F3-179A342F4D68}"/>
    <cellStyle name="Normal 4 2 4 2 6 5" xfId="18645" xr:uid="{B8DC8056-1E68-42AA-A975-1EEC543D302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3DB5A1C6-F179-4F76-A1F4-916A2E312753}"/>
    <cellStyle name="Normal 4 2 4 2 7 2 2 3" xfId="25420" xr:uid="{62DE29C0-C84B-4BBE-B0B9-EA624204DC71}"/>
    <cellStyle name="Normal 4 2 4 2 7 2 3" xfId="12762" xr:uid="{68859D80-BF23-44C1-8958-0C2BA2F6C3C0}"/>
    <cellStyle name="Normal 4 2 4 2 7 2 4" xfId="21203" xr:uid="{1A16A77A-BEE7-4A5B-96A6-6442260D3DBC}"/>
    <cellStyle name="Normal 4 2 4 2 7 3" xfId="6385" xr:uid="{00000000-0005-0000-0000-000079130000}"/>
    <cellStyle name="Normal 4 2 4 2 7 3 2" xfId="14835" xr:uid="{677DBE01-1006-4FD0-9852-B28C7E402196}"/>
    <cellStyle name="Normal 4 2 4 2 7 3 3" xfId="23275" xr:uid="{29A7C52A-EE49-46FD-9F74-121BB56FD6B3}"/>
    <cellStyle name="Normal 4 2 4 2 7 4" xfId="10617" xr:uid="{6260E7C6-0DD0-4340-BB5A-711104C6F064}"/>
    <cellStyle name="Normal 4 2 4 2 7 5" xfId="19058" xr:uid="{5E81023F-E5DF-46AF-9B3E-0D0AF55B1ECD}"/>
    <cellStyle name="Normal 4 2 4 2 8" xfId="2515" xr:uid="{00000000-0005-0000-0000-00007A130000}"/>
    <cellStyle name="Normal 4 2 4 2 8 2" xfId="6798" xr:uid="{00000000-0005-0000-0000-00007B130000}"/>
    <cellStyle name="Normal 4 2 4 2 8 2 2" xfId="15248" xr:uid="{DD03F50E-5977-44CE-9F8D-D4DBCEFE847D}"/>
    <cellStyle name="Normal 4 2 4 2 8 2 3" xfId="23688" xr:uid="{05D94E22-CD1D-4306-ACC5-44C3110A55F3}"/>
    <cellStyle name="Normal 4 2 4 2 8 3" xfId="11030" xr:uid="{34A8AAFB-C6E3-47F2-A845-F0D77BE6C2B6}"/>
    <cellStyle name="Normal 4 2 4 2 8 4" xfId="19471" xr:uid="{A3806146-510D-49DF-9B6D-5DF1F98E3A1F}"/>
    <cellStyle name="Normal 4 2 4 2 9" xfId="4733" xr:uid="{00000000-0005-0000-0000-00007C130000}"/>
    <cellStyle name="Normal 4 2 4 2 9 2" xfId="13183" xr:uid="{418BA4B6-0E41-47FF-A4EB-8C99936B9D52}"/>
    <cellStyle name="Normal 4 2 4 2 9 3" xfId="21623" xr:uid="{DBDBD030-3461-4066-91CF-3436B380147D}"/>
    <cellStyle name="Normal 4 2 4 3" xfId="360" xr:uid="{00000000-0005-0000-0000-00007D130000}"/>
    <cellStyle name="Normal 4 2 4 3 10" xfId="17410" xr:uid="{7BD98645-F7D5-48DF-9498-3450AF52C675}"/>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9D1FD07C-167C-48DD-8F50-EDBC37DF7E3C}"/>
    <cellStyle name="Normal 4 2 4 3 2 2 2 2 3" xfId="24186" xr:uid="{43D2C4FB-4BC1-42E7-8ADF-E05226117C91}"/>
    <cellStyle name="Normal 4 2 4 3 2 2 2 3" xfId="11528" xr:uid="{4E361D22-3E37-4FDE-AB7E-BEAED05547ED}"/>
    <cellStyle name="Normal 4 2 4 3 2 2 2 4" xfId="19969" xr:uid="{AAC5647A-7D86-4543-A9D4-8ECA750AF237}"/>
    <cellStyle name="Normal 4 2 4 3 2 2 3" xfId="5151" xr:uid="{00000000-0005-0000-0000-000082130000}"/>
    <cellStyle name="Normal 4 2 4 3 2 2 3 2" xfId="13601" xr:uid="{EDFD055D-8109-4ACC-B634-CE8F5EDC40B1}"/>
    <cellStyle name="Normal 4 2 4 3 2 2 3 3" xfId="22041" xr:uid="{610D04AB-24E2-472D-A3C4-A2F212D3605C}"/>
    <cellStyle name="Normal 4 2 4 3 2 2 4" xfId="9383" xr:uid="{9556C93E-FD9D-42E4-A194-CD82A7B16F63}"/>
    <cellStyle name="Normal 4 2 4 3 2 2 5" xfId="17824" xr:uid="{1540DD8A-A3AE-44BD-83D7-62C9BC74A7B8}"/>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006AA983-79BD-4017-9EC9-5E8D13DEA001}"/>
    <cellStyle name="Normal 4 2 4 3 2 3 2 2 3" xfId="24599" xr:uid="{D01A3FD5-3047-465E-8ECA-36D70629EDA5}"/>
    <cellStyle name="Normal 4 2 4 3 2 3 2 3" xfId="11941" xr:uid="{8D0DB480-076B-4874-BE9D-E2DC91B112FC}"/>
    <cellStyle name="Normal 4 2 4 3 2 3 2 4" xfId="20382" xr:uid="{5BE93664-C70F-4DB8-A6AC-81DDF28590D7}"/>
    <cellStyle name="Normal 4 2 4 3 2 3 3" xfId="5564" xr:uid="{00000000-0005-0000-0000-000086130000}"/>
    <cellStyle name="Normal 4 2 4 3 2 3 3 2" xfId="14014" xr:uid="{2903DA75-76E9-4D77-BB4E-29F5E88906B3}"/>
    <cellStyle name="Normal 4 2 4 3 2 3 3 3" xfId="22454" xr:uid="{98D7D8ED-E5F8-4BBD-B4DC-87E4FC2EFA08}"/>
    <cellStyle name="Normal 4 2 4 3 2 3 4" xfId="9796" xr:uid="{E4B48FB0-8869-4F4A-8711-BF2683C7935F}"/>
    <cellStyle name="Normal 4 2 4 3 2 3 5" xfId="18237" xr:uid="{EB093AD3-187D-458A-A089-39E80C82EAAF}"/>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4EB14F71-8530-4A38-936C-0F6B68CA01AD}"/>
    <cellStyle name="Normal 4 2 4 3 2 4 2 2 3" xfId="25012" xr:uid="{55A7894A-65B5-4632-B93D-7698515D44D5}"/>
    <cellStyle name="Normal 4 2 4 3 2 4 2 3" xfId="12354" xr:uid="{3A667E9C-AD4C-4213-A52C-B9608E267943}"/>
    <cellStyle name="Normal 4 2 4 3 2 4 2 4" xfId="20795" xr:uid="{9F280392-1C67-4EC6-BB30-2DA4658C38E1}"/>
    <cellStyle name="Normal 4 2 4 3 2 4 3" xfId="5977" xr:uid="{00000000-0005-0000-0000-00008A130000}"/>
    <cellStyle name="Normal 4 2 4 3 2 4 3 2" xfId="14427" xr:uid="{44BB45F0-8BC0-4C51-88E3-EAA2161E70F8}"/>
    <cellStyle name="Normal 4 2 4 3 2 4 3 3" xfId="22867" xr:uid="{BBFEEF3B-3E9C-4ADF-89C9-78C9A2D06F80}"/>
    <cellStyle name="Normal 4 2 4 3 2 4 4" xfId="10209" xr:uid="{A5F5AB56-EDF5-4609-836B-A3EA7025143C}"/>
    <cellStyle name="Normal 4 2 4 3 2 4 5" xfId="18650" xr:uid="{1F0DB306-D09E-46CA-BB68-E38ECE364F5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67889AF3-5C97-40A0-964D-DF1622CDCB39}"/>
    <cellStyle name="Normal 4 2 4 3 2 5 2 2 3" xfId="25425" xr:uid="{DCE025F6-011C-4836-98C0-01DB39097244}"/>
    <cellStyle name="Normal 4 2 4 3 2 5 2 3" xfId="12767" xr:uid="{125AAD55-94AF-45EF-8A88-EA633AADD7E3}"/>
    <cellStyle name="Normal 4 2 4 3 2 5 2 4" xfId="21208" xr:uid="{639CEA65-E2B9-49F8-9B53-246BEE24A86C}"/>
    <cellStyle name="Normal 4 2 4 3 2 5 3" xfId="6390" xr:uid="{00000000-0005-0000-0000-00008E130000}"/>
    <cellStyle name="Normal 4 2 4 3 2 5 3 2" xfId="14840" xr:uid="{54CB0146-3E44-41EC-BB65-FF8A25A57980}"/>
    <cellStyle name="Normal 4 2 4 3 2 5 3 3" xfId="23280" xr:uid="{C8816F14-2AB0-4AFD-9BE7-04E07742C5A7}"/>
    <cellStyle name="Normal 4 2 4 3 2 5 4" xfId="10622" xr:uid="{52069C88-DE0C-4B82-92B2-FAB63EFBC1CA}"/>
    <cellStyle name="Normal 4 2 4 3 2 5 5" xfId="19063" xr:uid="{11DE6869-89CF-4FB5-A169-B92E8C8E56A8}"/>
    <cellStyle name="Normal 4 2 4 3 2 6" xfId="2520" xr:uid="{00000000-0005-0000-0000-00008F130000}"/>
    <cellStyle name="Normal 4 2 4 3 2 6 2" xfId="6803" xr:uid="{00000000-0005-0000-0000-000090130000}"/>
    <cellStyle name="Normal 4 2 4 3 2 6 2 2" xfId="15253" xr:uid="{1368A1D7-3570-431C-B444-27983EF7E350}"/>
    <cellStyle name="Normal 4 2 4 3 2 6 2 3" xfId="23693" xr:uid="{39C1DAB1-BA5D-4A24-90C7-36BB44EE36AD}"/>
    <cellStyle name="Normal 4 2 4 3 2 6 3" xfId="11035" xr:uid="{0FD54595-A9A2-40D5-8AB3-BF9B722BBA0B}"/>
    <cellStyle name="Normal 4 2 4 3 2 6 4" xfId="19476" xr:uid="{17F4E592-4AF2-46C3-AA20-4D81874CAA70}"/>
    <cellStyle name="Normal 4 2 4 3 2 7" xfId="4738" xr:uid="{00000000-0005-0000-0000-000091130000}"/>
    <cellStyle name="Normal 4 2 4 3 2 7 2" xfId="13188" xr:uid="{7BED5647-F01E-43F1-A476-4E5C6BBC6912}"/>
    <cellStyle name="Normal 4 2 4 3 2 7 3" xfId="21628" xr:uid="{8062A929-2F0D-4E13-8D61-ED662020E1B4}"/>
    <cellStyle name="Normal 4 2 4 3 2 8" xfId="8970" xr:uid="{F193C8DC-2184-4C66-95D7-F3B2CFE28ABC}"/>
    <cellStyle name="Normal 4 2 4 3 2 9" xfId="17411" xr:uid="{FEB37E60-4442-4A87-9A5F-DADDF61F678F}"/>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2B0E4DEA-B377-43FE-8777-DF60A498B1A2}"/>
    <cellStyle name="Normal 4 2 4 3 3 2 2 3" xfId="24185" xr:uid="{2AE8FB33-06A8-4349-B273-953CD39854B6}"/>
    <cellStyle name="Normal 4 2 4 3 3 2 3" xfId="11527" xr:uid="{03F127E8-4CE3-4E44-894E-131D350514A3}"/>
    <cellStyle name="Normal 4 2 4 3 3 2 4" xfId="19968" xr:uid="{01D9CE50-B832-4897-8756-E340097321A8}"/>
    <cellStyle name="Normal 4 2 4 3 3 3" xfId="5150" xr:uid="{00000000-0005-0000-0000-000095130000}"/>
    <cellStyle name="Normal 4 2 4 3 3 3 2" xfId="13600" xr:uid="{F5539893-BF40-4C4B-93B3-B222E86792A0}"/>
    <cellStyle name="Normal 4 2 4 3 3 3 3" xfId="22040" xr:uid="{0A9E38F9-356F-4AD2-9015-56560EC8B125}"/>
    <cellStyle name="Normal 4 2 4 3 3 4" xfId="9382" xr:uid="{FF59516D-73F8-447E-A0D0-93B90B499B41}"/>
    <cellStyle name="Normal 4 2 4 3 3 5" xfId="17823" xr:uid="{F19AF161-821E-447C-8D28-C0D682B0EED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CA34DBB9-CC18-48D7-8086-96A85B6D4B43}"/>
    <cellStyle name="Normal 4 2 4 3 4 2 2 3" xfId="24598" xr:uid="{E367E607-6DFF-4BE1-AEAA-3A234325C074}"/>
    <cellStyle name="Normal 4 2 4 3 4 2 3" xfId="11940" xr:uid="{D6F7E747-6A1F-41FE-8081-75D589430F7C}"/>
    <cellStyle name="Normal 4 2 4 3 4 2 4" xfId="20381" xr:uid="{0794686A-786A-4A2F-8092-6F8636184675}"/>
    <cellStyle name="Normal 4 2 4 3 4 3" xfId="5563" xr:uid="{00000000-0005-0000-0000-000099130000}"/>
    <cellStyle name="Normal 4 2 4 3 4 3 2" xfId="14013" xr:uid="{B3A25347-FFD0-4080-AB59-50CDA6F4FAAA}"/>
    <cellStyle name="Normal 4 2 4 3 4 3 3" xfId="22453" xr:uid="{C772C153-059B-4253-B24F-7C9DCB809380}"/>
    <cellStyle name="Normal 4 2 4 3 4 4" xfId="9795" xr:uid="{620B92FE-D2C9-49E5-AF37-03B3BCA074F0}"/>
    <cellStyle name="Normal 4 2 4 3 4 5" xfId="18236" xr:uid="{52B5B384-930C-43AF-B379-8566056D416E}"/>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358B0E13-C657-4BAF-B3B2-06603D513FC0}"/>
    <cellStyle name="Normal 4 2 4 3 5 2 2 3" xfId="25011" xr:uid="{0744C544-9696-49CB-B551-DCDD6208C20E}"/>
    <cellStyle name="Normal 4 2 4 3 5 2 3" xfId="12353" xr:uid="{77B3ED70-AD2C-4B9E-9251-0E587AE2558B}"/>
    <cellStyle name="Normal 4 2 4 3 5 2 4" xfId="20794" xr:uid="{8844A2D5-869B-44FB-8482-970456E254EF}"/>
    <cellStyle name="Normal 4 2 4 3 5 3" xfId="5976" xr:uid="{00000000-0005-0000-0000-00009D130000}"/>
    <cellStyle name="Normal 4 2 4 3 5 3 2" xfId="14426" xr:uid="{47154DC5-82E2-4274-95D8-0B74ADEEE25D}"/>
    <cellStyle name="Normal 4 2 4 3 5 3 3" xfId="22866" xr:uid="{E700160D-5551-4444-AAEC-ED48D095B55F}"/>
    <cellStyle name="Normal 4 2 4 3 5 4" xfId="10208" xr:uid="{AD93CBE4-CFA3-4AFE-BC62-0C564D6E19FD}"/>
    <cellStyle name="Normal 4 2 4 3 5 5" xfId="18649" xr:uid="{3B568801-9FAD-483D-A03E-C05C38291B5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D881C7BF-BD2E-4F9E-86F2-E7B02C5C78A3}"/>
    <cellStyle name="Normal 4 2 4 3 6 2 2 3" xfId="25424" xr:uid="{02C5C294-89AD-4FD6-8879-A7DE5E2EED5A}"/>
    <cellStyle name="Normal 4 2 4 3 6 2 3" xfId="12766" xr:uid="{EB8CCD17-3DA3-4170-85C7-C9D49ABCAFEC}"/>
    <cellStyle name="Normal 4 2 4 3 6 2 4" xfId="21207" xr:uid="{F5B35A7D-93AC-4461-95EC-CCF50A917EFB}"/>
    <cellStyle name="Normal 4 2 4 3 6 3" xfId="6389" xr:uid="{00000000-0005-0000-0000-0000A1130000}"/>
    <cellStyle name="Normal 4 2 4 3 6 3 2" xfId="14839" xr:uid="{98F68E86-3ED2-4DD5-8A71-DD7221EE1C27}"/>
    <cellStyle name="Normal 4 2 4 3 6 3 3" xfId="23279" xr:uid="{B6F432F5-F6A4-4D61-AB81-2AAA78002045}"/>
    <cellStyle name="Normal 4 2 4 3 6 4" xfId="10621" xr:uid="{94194B45-9A7F-4565-AAC0-A269D18D73FF}"/>
    <cellStyle name="Normal 4 2 4 3 6 5" xfId="19062" xr:uid="{3F3CA62A-875A-4252-83A7-EC77243B31C1}"/>
    <cellStyle name="Normal 4 2 4 3 7" xfId="2519" xr:uid="{00000000-0005-0000-0000-0000A2130000}"/>
    <cellStyle name="Normal 4 2 4 3 7 2" xfId="6802" xr:uid="{00000000-0005-0000-0000-0000A3130000}"/>
    <cellStyle name="Normal 4 2 4 3 7 2 2" xfId="15252" xr:uid="{F2F4534D-AB7B-4D48-A67A-431BED400679}"/>
    <cellStyle name="Normal 4 2 4 3 7 2 3" xfId="23692" xr:uid="{F2B1C159-6B6A-4FD9-B03D-5961ADF29C5D}"/>
    <cellStyle name="Normal 4 2 4 3 7 3" xfId="11034" xr:uid="{68DFCE86-7E0C-4D6A-B2B3-BF29EA4B0C0E}"/>
    <cellStyle name="Normal 4 2 4 3 7 4" xfId="19475" xr:uid="{F77DE9C8-D741-4C00-99F9-BDB52C19D1D7}"/>
    <cellStyle name="Normal 4 2 4 3 8" xfId="4737" xr:uid="{00000000-0005-0000-0000-0000A4130000}"/>
    <cellStyle name="Normal 4 2 4 3 8 2" xfId="13187" xr:uid="{7AC9842E-7051-48F0-8F4C-66FE7A83D447}"/>
    <cellStyle name="Normal 4 2 4 3 8 3" xfId="21627" xr:uid="{F62753A2-5E14-426B-A683-10D2C1A91471}"/>
    <cellStyle name="Normal 4 2 4 3 9" xfId="8969" xr:uid="{071393F5-F641-4B3D-852E-DA102B5003DF}"/>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9EF34A4D-8317-404C-9C5F-D7E31213312D}"/>
    <cellStyle name="Normal 4 2 4 4 2 2 2 3" xfId="24187" xr:uid="{E9BDA271-75A3-407F-BDC3-CB9EE537C42B}"/>
    <cellStyle name="Normal 4 2 4 4 2 2 3" xfId="11529" xr:uid="{997F65B9-E37F-4C78-A818-C5CC825511FD}"/>
    <cellStyle name="Normal 4 2 4 4 2 2 4" xfId="19970" xr:uid="{68036142-93C3-4052-AD0C-234B8CD38470}"/>
    <cellStyle name="Normal 4 2 4 4 2 3" xfId="5152" xr:uid="{00000000-0005-0000-0000-0000A9130000}"/>
    <cellStyle name="Normal 4 2 4 4 2 3 2" xfId="13602" xr:uid="{BA3D7D54-B036-4FE4-A9F4-AB7D5B8DDE82}"/>
    <cellStyle name="Normal 4 2 4 4 2 3 3" xfId="22042" xr:uid="{F11247E0-4B60-4E99-BD12-9C331FC9E061}"/>
    <cellStyle name="Normal 4 2 4 4 2 4" xfId="9384" xr:uid="{1E44E6C6-8013-40F1-A0CC-598A0B2AD2E4}"/>
    <cellStyle name="Normal 4 2 4 4 2 5" xfId="17825" xr:uid="{1EF5B313-37FE-49B9-BFA7-183D0A819A5A}"/>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5F5F5CD1-C8A0-422A-9C14-C44A32BB1353}"/>
    <cellStyle name="Normal 4 2 4 4 3 2 2 3" xfId="24600" xr:uid="{A6907EFE-3934-43A9-B5DD-5D37F9CB7361}"/>
    <cellStyle name="Normal 4 2 4 4 3 2 3" xfId="11942" xr:uid="{6AB1399A-9D7F-48D4-B44E-DD5E0A812B19}"/>
    <cellStyle name="Normal 4 2 4 4 3 2 4" xfId="20383" xr:uid="{1B2B4008-EA43-476B-B5EA-8E84E736F170}"/>
    <cellStyle name="Normal 4 2 4 4 3 3" xfId="5565" xr:uid="{00000000-0005-0000-0000-0000AD130000}"/>
    <cellStyle name="Normal 4 2 4 4 3 3 2" xfId="14015" xr:uid="{7E3D1694-94D1-4991-8A3D-AA6D31D445B6}"/>
    <cellStyle name="Normal 4 2 4 4 3 3 3" xfId="22455" xr:uid="{4ED9C1D8-9062-4B5D-B91E-900530AD3E55}"/>
    <cellStyle name="Normal 4 2 4 4 3 4" xfId="9797" xr:uid="{A3577741-3CFF-4902-86D2-C403DB473A16}"/>
    <cellStyle name="Normal 4 2 4 4 3 5" xfId="18238" xr:uid="{098C91BF-9035-42B4-9FC1-823F8E3F889A}"/>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D7177901-EFDA-40D1-BBE3-FB1BE8431F26}"/>
    <cellStyle name="Normal 4 2 4 4 4 2 2 3" xfId="25013" xr:uid="{B34FEAB9-9BD5-4159-A6C9-5B3FF4E5E2FF}"/>
    <cellStyle name="Normal 4 2 4 4 4 2 3" xfId="12355" xr:uid="{C7428F7C-0D1A-43C8-AABE-BBE5C756DE5F}"/>
    <cellStyle name="Normal 4 2 4 4 4 2 4" xfId="20796" xr:uid="{1BDCCCB3-9D1A-41FE-840D-0CB7CB84AD4A}"/>
    <cellStyle name="Normal 4 2 4 4 4 3" xfId="5978" xr:uid="{00000000-0005-0000-0000-0000B1130000}"/>
    <cellStyle name="Normal 4 2 4 4 4 3 2" xfId="14428" xr:uid="{D69FD55D-89A4-4A22-A09B-6D09B89E0363}"/>
    <cellStyle name="Normal 4 2 4 4 4 3 3" xfId="22868" xr:uid="{E9F518D4-D641-43EC-A129-EC90B9A4D8B3}"/>
    <cellStyle name="Normal 4 2 4 4 4 4" xfId="10210" xr:uid="{D4EC7AC1-537F-41DD-B384-8BEB8BA8BE2E}"/>
    <cellStyle name="Normal 4 2 4 4 4 5" xfId="18651" xr:uid="{8DC18ED1-97E7-4D93-93E7-A9ED50EEBA72}"/>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EE9E98C9-827F-4E33-8CD8-88B88C57E44F}"/>
    <cellStyle name="Normal 4 2 4 4 5 2 2 3" xfId="25426" xr:uid="{2309907B-BD9C-4C26-9A41-CA14D0756E39}"/>
    <cellStyle name="Normal 4 2 4 4 5 2 3" xfId="12768" xr:uid="{DE8CE0A7-95E2-4DA0-87BA-E0755E526DB9}"/>
    <cellStyle name="Normal 4 2 4 4 5 2 4" xfId="21209" xr:uid="{468C000F-3A1A-45B2-8560-45AF710DCE5C}"/>
    <cellStyle name="Normal 4 2 4 4 5 3" xfId="6391" xr:uid="{00000000-0005-0000-0000-0000B5130000}"/>
    <cellStyle name="Normal 4 2 4 4 5 3 2" xfId="14841" xr:uid="{73E484E1-B046-4884-91D9-1D3BBF8CF36A}"/>
    <cellStyle name="Normal 4 2 4 4 5 3 3" xfId="23281" xr:uid="{B9CD4354-7493-446C-8185-9AF90ACFBAA6}"/>
    <cellStyle name="Normal 4 2 4 4 5 4" xfId="10623" xr:uid="{F7BF9A49-1353-4651-A5FA-447BA57C5E38}"/>
    <cellStyle name="Normal 4 2 4 4 5 5" xfId="19064" xr:uid="{2EA17AA8-C4C6-4419-960B-D2D5CF9294EF}"/>
    <cellStyle name="Normal 4 2 4 4 6" xfId="2521" xr:uid="{00000000-0005-0000-0000-0000B6130000}"/>
    <cellStyle name="Normal 4 2 4 4 6 2" xfId="6804" xr:uid="{00000000-0005-0000-0000-0000B7130000}"/>
    <cellStyle name="Normal 4 2 4 4 6 2 2" xfId="15254" xr:uid="{406B7065-B0E0-46F6-AADD-0532E5421843}"/>
    <cellStyle name="Normal 4 2 4 4 6 2 3" xfId="23694" xr:uid="{42F07FA4-760E-4304-8664-ED86CCBBB5C7}"/>
    <cellStyle name="Normal 4 2 4 4 6 3" xfId="11036" xr:uid="{8669797D-C799-4897-AB32-464F7B347C2B}"/>
    <cellStyle name="Normal 4 2 4 4 6 4" xfId="19477" xr:uid="{41C84384-138D-48D1-8DCB-E6AAFE3A6E42}"/>
    <cellStyle name="Normal 4 2 4 4 7" xfId="4739" xr:uid="{00000000-0005-0000-0000-0000B8130000}"/>
    <cellStyle name="Normal 4 2 4 4 7 2" xfId="13189" xr:uid="{726CCAB4-9E52-4987-8BCE-39E6A26530F6}"/>
    <cellStyle name="Normal 4 2 4 4 7 3" xfId="21629" xr:uid="{B178F7A3-563A-46A3-8B43-5ED4D6011B36}"/>
    <cellStyle name="Normal 4 2 4 4 8" xfId="8971" xr:uid="{5166ADBC-29DC-4DE2-90EF-DF8984AD17C1}"/>
    <cellStyle name="Normal 4 2 4 4 9" xfId="17412" xr:uid="{EF71C310-F2EA-4CB5-A038-D70F701DBAAB}"/>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294AE0D5-7A3D-4C36-AF9C-6DB5AFE49C3D}"/>
    <cellStyle name="Normal 4 2 4 5 2 2 3" xfId="24180" xr:uid="{AC614E0D-4757-4633-ADF3-44D8E15FF8A1}"/>
    <cellStyle name="Normal 4 2 4 5 2 3" xfId="11522" xr:uid="{0953DF5A-04FB-4305-9883-23C9A90CFD11}"/>
    <cellStyle name="Normal 4 2 4 5 2 4" xfId="19963" xr:uid="{4C734B36-AC32-4406-B142-7C16E7C2D0FD}"/>
    <cellStyle name="Normal 4 2 4 5 3" xfId="5145" xr:uid="{00000000-0005-0000-0000-0000BC130000}"/>
    <cellStyle name="Normal 4 2 4 5 3 2" xfId="13595" xr:uid="{3D3CF977-5F9B-451C-9661-3941D384771D}"/>
    <cellStyle name="Normal 4 2 4 5 3 3" xfId="22035" xr:uid="{75A7F3D5-8098-4BD2-8621-2BF45232FAB4}"/>
    <cellStyle name="Normal 4 2 4 5 4" xfId="9377" xr:uid="{6F79CA38-4FD3-47E9-A0B4-97843B2EE87C}"/>
    <cellStyle name="Normal 4 2 4 5 5" xfId="17818" xr:uid="{04269226-D929-4C37-94C4-2866A8A18FDB}"/>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22F37272-A47D-4FB1-89D0-C82E3F50D5CB}"/>
    <cellStyle name="Normal 4 2 4 6 2 2 3" xfId="24593" xr:uid="{43E8B707-89C8-4BF0-A2CE-6078956A841D}"/>
    <cellStyle name="Normal 4 2 4 6 2 3" xfId="11935" xr:uid="{3FF955A8-2DEF-4FBF-A6FB-F1D0B53458A4}"/>
    <cellStyle name="Normal 4 2 4 6 2 4" xfId="20376" xr:uid="{91A7457C-4CA4-4B98-AB73-1E109F7089EB}"/>
    <cellStyle name="Normal 4 2 4 6 3" xfId="5558" xr:uid="{00000000-0005-0000-0000-0000C0130000}"/>
    <cellStyle name="Normal 4 2 4 6 3 2" xfId="14008" xr:uid="{D13985FB-0F59-437A-B981-A0B6D320689D}"/>
    <cellStyle name="Normal 4 2 4 6 3 3" xfId="22448" xr:uid="{18A8570E-CE8D-4860-A5AA-CDE594D9D098}"/>
    <cellStyle name="Normal 4 2 4 6 4" xfId="9790" xr:uid="{0DF75CFC-CD6F-49D6-8851-29C897361636}"/>
    <cellStyle name="Normal 4 2 4 6 5" xfId="18231" xr:uid="{95C772D9-15E5-49F2-8498-9DCA7055D6AB}"/>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FCB3229-138D-489F-A325-F302C2B3B1FE}"/>
    <cellStyle name="Normal 4 2 4 7 2 2 3" xfId="25006" xr:uid="{722C6563-9521-4B68-9B68-EC3059D17E77}"/>
    <cellStyle name="Normal 4 2 4 7 2 3" xfId="12348" xr:uid="{4148282A-7C2C-40AC-B47E-996D8C2708CA}"/>
    <cellStyle name="Normal 4 2 4 7 2 4" xfId="20789" xr:uid="{FB989436-B484-489E-A73A-9FD492AE415E}"/>
    <cellStyle name="Normal 4 2 4 7 3" xfId="5971" xr:uid="{00000000-0005-0000-0000-0000C4130000}"/>
    <cellStyle name="Normal 4 2 4 7 3 2" xfId="14421" xr:uid="{99E05346-A987-4C8A-A1EE-F7AB9C23BA23}"/>
    <cellStyle name="Normal 4 2 4 7 3 3" xfId="22861" xr:uid="{70BAF9F8-C049-49FD-B0A4-E31EDB8ED413}"/>
    <cellStyle name="Normal 4 2 4 7 4" xfId="10203" xr:uid="{D4441FA0-4AEC-4EF8-839A-4731F6BEA74F}"/>
    <cellStyle name="Normal 4 2 4 7 5" xfId="18644" xr:uid="{F4A15294-9505-4156-892E-47D267159B69}"/>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F872E6DE-87BA-46B8-8BD8-43CB42AA8E8F}"/>
    <cellStyle name="Normal 4 2 4 8 2 2 3" xfId="25419" xr:uid="{B1EB3098-5ED9-4E01-99D7-4CE716A6584F}"/>
    <cellStyle name="Normal 4 2 4 8 2 3" xfId="12761" xr:uid="{736FED96-7B22-48F2-B1CE-0575B5823460}"/>
    <cellStyle name="Normal 4 2 4 8 2 4" xfId="21202" xr:uid="{51D64D0D-ED99-472D-B43D-978BDA86B7BF}"/>
    <cellStyle name="Normal 4 2 4 8 3" xfId="6384" xr:uid="{00000000-0005-0000-0000-0000C8130000}"/>
    <cellStyle name="Normal 4 2 4 8 3 2" xfId="14834" xr:uid="{2B6A5780-B68A-4D1A-9565-4B19130020E7}"/>
    <cellStyle name="Normal 4 2 4 8 3 3" xfId="23274" xr:uid="{0B7F144F-0CB8-45FB-B757-8DA0D8F36FE1}"/>
    <cellStyle name="Normal 4 2 4 8 4" xfId="10616" xr:uid="{D59F410C-49D7-4043-B47B-331F5937A8EA}"/>
    <cellStyle name="Normal 4 2 4 8 5" xfId="19057" xr:uid="{581E3A1D-80C8-472E-8C13-8B03ECFBA503}"/>
    <cellStyle name="Normal 4 2 4 9" xfId="2514" xr:uid="{00000000-0005-0000-0000-0000C9130000}"/>
    <cellStyle name="Normal 4 2 4 9 2" xfId="6797" xr:uid="{00000000-0005-0000-0000-0000CA130000}"/>
    <cellStyle name="Normal 4 2 4 9 2 2" xfId="15247" xr:uid="{A460DE3E-799B-4AC8-9E6A-262CE4997B16}"/>
    <cellStyle name="Normal 4 2 4 9 2 3" xfId="23687" xr:uid="{C7A69604-F43D-46C6-B7A1-AAF92B2B5064}"/>
    <cellStyle name="Normal 4 2 4 9 3" xfId="11029" xr:uid="{EF9BFD7C-EBD2-4BF5-A3BD-B9FAE8DB4DF7}"/>
    <cellStyle name="Normal 4 2 4 9 4" xfId="19470" xr:uid="{766CF855-53AA-4455-A9EB-C19A03E06AEC}"/>
    <cellStyle name="Normal 4 2 5" xfId="363" xr:uid="{00000000-0005-0000-0000-0000CB130000}"/>
    <cellStyle name="Normal 4 2 5 10" xfId="17413" xr:uid="{8072C278-C39C-4CE7-87F9-0022A35C9E21}"/>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1CC8AE87-C087-4A72-B1F6-165C0A9A459F}"/>
    <cellStyle name="Normal 4 2 5 2 2 2 2 3" xfId="24189" xr:uid="{C5CF20BE-33D3-4D84-8941-C2B4FF55DD57}"/>
    <cellStyle name="Normal 4 2 5 2 2 2 3" xfId="11531" xr:uid="{B9D251A2-23ED-4079-A80C-8F112A9FAE84}"/>
    <cellStyle name="Normal 4 2 5 2 2 2 4" xfId="19972" xr:uid="{B2A898D0-9DF5-4433-B50D-5680C60266DB}"/>
    <cellStyle name="Normal 4 2 5 2 2 3" xfId="5154" xr:uid="{00000000-0005-0000-0000-0000D0130000}"/>
    <cellStyle name="Normal 4 2 5 2 2 3 2" xfId="13604" xr:uid="{B9EE4166-7E5B-4709-9049-B1A6C674C6EE}"/>
    <cellStyle name="Normal 4 2 5 2 2 3 3" xfId="22044" xr:uid="{D4867B5A-AE5E-48AF-B3FF-370FEDD05B03}"/>
    <cellStyle name="Normal 4 2 5 2 2 4" xfId="9386" xr:uid="{97BBCC71-7AE7-42F1-9FEF-55B8B8A97B2D}"/>
    <cellStyle name="Normal 4 2 5 2 2 5" xfId="17827" xr:uid="{0CC50654-3BDB-4AEA-B066-73FC9DCD4FCC}"/>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EE2B1CE8-9DF5-47EB-A601-960940EB45B8}"/>
    <cellStyle name="Normal 4 2 5 2 3 2 2 3" xfId="24602" xr:uid="{BB4804BD-373E-4F29-AB76-151F7FB34668}"/>
    <cellStyle name="Normal 4 2 5 2 3 2 3" xfId="11944" xr:uid="{0499A753-7629-4D0D-A122-6623F789B33F}"/>
    <cellStyle name="Normal 4 2 5 2 3 2 4" xfId="20385" xr:uid="{D648734E-8110-47D2-B4C2-AAF1164015EE}"/>
    <cellStyle name="Normal 4 2 5 2 3 3" xfId="5567" xr:uid="{00000000-0005-0000-0000-0000D4130000}"/>
    <cellStyle name="Normal 4 2 5 2 3 3 2" xfId="14017" xr:uid="{6A517C33-DDC8-470F-B2D2-5601F9359998}"/>
    <cellStyle name="Normal 4 2 5 2 3 3 3" xfId="22457" xr:uid="{DFBC566E-AF5B-4760-B2C8-A085595B5065}"/>
    <cellStyle name="Normal 4 2 5 2 3 4" xfId="9799" xr:uid="{9FE0E75D-F6E6-4EAC-9FCE-A665997BD907}"/>
    <cellStyle name="Normal 4 2 5 2 3 5" xfId="18240" xr:uid="{A0A91ECB-3C68-4DBD-BEA0-E9175C78D80E}"/>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CC35C3B4-B6BC-4A78-93FE-9367989CEF39}"/>
    <cellStyle name="Normal 4 2 5 2 4 2 2 3" xfId="25015" xr:uid="{25ABD0A1-8296-4440-B86F-81C57AC8D85C}"/>
    <cellStyle name="Normal 4 2 5 2 4 2 3" xfId="12357" xr:uid="{C739D9B6-684F-4D47-B427-31CE113CE483}"/>
    <cellStyle name="Normal 4 2 5 2 4 2 4" xfId="20798" xr:uid="{78C92047-3470-443B-AAA4-F65416966A46}"/>
    <cellStyle name="Normal 4 2 5 2 4 3" xfId="5980" xr:uid="{00000000-0005-0000-0000-0000D8130000}"/>
    <cellStyle name="Normal 4 2 5 2 4 3 2" xfId="14430" xr:uid="{A45EA2D0-9E55-4480-9EE3-72B8EB10AFAE}"/>
    <cellStyle name="Normal 4 2 5 2 4 3 3" xfId="22870" xr:uid="{4790813A-F4EE-45AC-8D86-260234FD4896}"/>
    <cellStyle name="Normal 4 2 5 2 4 4" xfId="10212" xr:uid="{C960BEFE-B416-4589-A093-692BCDE3B387}"/>
    <cellStyle name="Normal 4 2 5 2 4 5" xfId="18653" xr:uid="{6898298E-2A29-4590-A11E-49768F6D47FE}"/>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4E266B5C-FEDB-4568-A3D8-8E02CFA6DBFE}"/>
    <cellStyle name="Normal 4 2 5 2 5 2 2 3" xfId="25428" xr:uid="{018767FF-16ED-445B-959A-FC5FCEDA982A}"/>
    <cellStyle name="Normal 4 2 5 2 5 2 3" xfId="12770" xr:uid="{04F1ED89-A224-4677-8E2F-09F41341EB06}"/>
    <cellStyle name="Normal 4 2 5 2 5 2 4" xfId="21211" xr:uid="{A85CC768-838E-464B-A144-2513D367FBE9}"/>
    <cellStyle name="Normal 4 2 5 2 5 3" xfId="6393" xr:uid="{00000000-0005-0000-0000-0000DC130000}"/>
    <cellStyle name="Normal 4 2 5 2 5 3 2" xfId="14843" xr:uid="{B9A38098-60B0-4AA9-BB67-A7BB3E2F8713}"/>
    <cellStyle name="Normal 4 2 5 2 5 3 3" xfId="23283" xr:uid="{7ABB5A28-115E-4803-A67A-7003BFDACBF9}"/>
    <cellStyle name="Normal 4 2 5 2 5 4" xfId="10625" xr:uid="{9E03F761-CE6F-44D3-9035-6E6FFB17C9F0}"/>
    <cellStyle name="Normal 4 2 5 2 5 5" xfId="19066" xr:uid="{F1B533C8-71B9-45E5-9DFE-E7A930EE79AB}"/>
    <cellStyle name="Normal 4 2 5 2 6" xfId="2523" xr:uid="{00000000-0005-0000-0000-0000DD130000}"/>
    <cellStyle name="Normal 4 2 5 2 6 2" xfId="6806" xr:uid="{00000000-0005-0000-0000-0000DE130000}"/>
    <cellStyle name="Normal 4 2 5 2 6 2 2" xfId="15256" xr:uid="{BF691E53-B6CC-4C77-8FA7-88C4002AC9E2}"/>
    <cellStyle name="Normal 4 2 5 2 6 2 3" xfId="23696" xr:uid="{B36F29D2-DBC7-4348-B1E7-6320C98BD252}"/>
    <cellStyle name="Normal 4 2 5 2 6 3" xfId="11038" xr:uid="{7B6E1510-5520-45A2-A086-036F7DA1FFE9}"/>
    <cellStyle name="Normal 4 2 5 2 6 4" xfId="19479" xr:uid="{3933D188-8311-4078-8D39-B4E6572E945B}"/>
    <cellStyle name="Normal 4 2 5 2 7" xfId="4741" xr:uid="{00000000-0005-0000-0000-0000DF130000}"/>
    <cellStyle name="Normal 4 2 5 2 7 2" xfId="13191" xr:uid="{D50B0F54-ECFB-4A55-9F1D-AA41EC4AEBB8}"/>
    <cellStyle name="Normal 4 2 5 2 7 3" xfId="21631" xr:uid="{18F913EC-63DF-41E6-8956-B343661D8C2E}"/>
    <cellStyle name="Normal 4 2 5 2 8" xfId="8973" xr:uid="{7A4B3608-44AD-41A0-A5C8-F239270D7920}"/>
    <cellStyle name="Normal 4 2 5 2 9" xfId="17414" xr:uid="{B5E9F58E-F2F7-4BA5-88E4-0C34441E9095}"/>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5D158F67-2FF5-4823-9B35-297ECAA9DD0A}"/>
    <cellStyle name="Normal 4 2 5 3 2 2 3" xfId="24188" xr:uid="{03A5D91B-21A2-486E-9698-46B8192C9796}"/>
    <cellStyle name="Normal 4 2 5 3 2 3" xfId="11530" xr:uid="{7E33A97F-E2D6-4E02-AE5A-348BCE29C8F7}"/>
    <cellStyle name="Normal 4 2 5 3 2 4" xfId="19971" xr:uid="{370CD665-4DD4-4FA7-9878-787BFCD68279}"/>
    <cellStyle name="Normal 4 2 5 3 3" xfId="5153" xr:uid="{00000000-0005-0000-0000-0000E3130000}"/>
    <cellStyle name="Normal 4 2 5 3 3 2" xfId="13603" xr:uid="{A7D148E6-C13E-4FB2-8849-54ADCA284D72}"/>
    <cellStyle name="Normal 4 2 5 3 3 3" xfId="22043" xr:uid="{6C17E784-065B-451F-90EF-D45BE0706760}"/>
    <cellStyle name="Normal 4 2 5 3 4" xfId="9385" xr:uid="{C3FC332C-2B4D-475D-AAFD-B62AAA4E8DFE}"/>
    <cellStyle name="Normal 4 2 5 3 5" xfId="17826" xr:uid="{A88E84F2-207A-4724-B9A3-C3A3F5DEE17B}"/>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4F55477C-9C61-4B90-8AB4-489CFC0FE037}"/>
    <cellStyle name="Normal 4 2 5 4 2 2 3" xfId="24601" xr:uid="{80E4F826-62AF-4DB1-9905-F90230A790EC}"/>
    <cellStyle name="Normal 4 2 5 4 2 3" xfId="11943" xr:uid="{70AD4A3A-7A70-4248-962F-E6D9D37B0E11}"/>
    <cellStyle name="Normal 4 2 5 4 2 4" xfId="20384" xr:uid="{B09C30E6-B0BC-4385-B5D2-D1E3C4923339}"/>
    <cellStyle name="Normal 4 2 5 4 3" xfId="5566" xr:uid="{00000000-0005-0000-0000-0000E7130000}"/>
    <cellStyle name="Normal 4 2 5 4 3 2" xfId="14016" xr:uid="{4D2D05AD-DFA7-4CDF-8000-8E5ED0BB4455}"/>
    <cellStyle name="Normal 4 2 5 4 3 3" xfId="22456" xr:uid="{A2079BEE-A0EE-409C-A3B7-5AD2F7B66044}"/>
    <cellStyle name="Normal 4 2 5 4 4" xfId="9798" xr:uid="{87F3BD51-0BAB-4295-8826-EAE1ABEE2BF1}"/>
    <cellStyle name="Normal 4 2 5 4 5" xfId="18239" xr:uid="{B5EB5E86-D990-4080-8BF8-D6A1609ED021}"/>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49E8F09-3C28-4F01-9DB8-6F3240AFF9E1}"/>
    <cellStyle name="Normal 4 2 5 5 2 2 3" xfId="25014" xr:uid="{54EEB280-CC65-41ED-980D-190397CDFE44}"/>
    <cellStyle name="Normal 4 2 5 5 2 3" xfId="12356" xr:uid="{C742E706-DF1B-4006-8546-05ECC9D23153}"/>
    <cellStyle name="Normal 4 2 5 5 2 4" xfId="20797" xr:uid="{23717A9B-83C5-4F79-81D6-98D84145BCF8}"/>
    <cellStyle name="Normal 4 2 5 5 3" xfId="5979" xr:uid="{00000000-0005-0000-0000-0000EB130000}"/>
    <cellStyle name="Normal 4 2 5 5 3 2" xfId="14429" xr:uid="{B7CAA23C-E7B5-4A73-9E65-E48ED6FBDA8F}"/>
    <cellStyle name="Normal 4 2 5 5 3 3" xfId="22869" xr:uid="{17A37F79-3EE6-49E8-ADB2-BBFBA1577BAC}"/>
    <cellStyle name="Normal 4 2 5 5 4" xfId="10211" xr:uid="{3CBDBC8C-54DF-40AE-9008-1D9DAAE85446}"/>
    <cellStyle name="Normal 4 2 5 5 5" xfId="18652" xr:uid="{5E2B62DE-3CAA-4CD2-B46A-8460D63FCE43}"/>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EC096E8F-BC7B-480C-A542-A1F4E3E808FC}"/>
    <cellStyle name="Normal 4 2 5 6 2 2 3" xfId="25427" xr:uid="{20F71BE0-BAF5-4942-AB47-57D7C5CB8B46}"/>
    <cellStyle name="Normal 4 2 5 6 2 3" xfId="12769" xr:uid="{CE6462DA-BB82-48EB-A42C-E807BA4447EC}"/>
    <cellStyle name="Normal 4 2 5 6 2 4" xfId="21210" xr:uid="{E039D3FF-4B66-40C3-96F8-8859BF887945}"/>
    <cellStyle name="Normal 4 2 5 6 3" xfId="6392" xr:uid="{00000000-0005-0000-0000-0000EF130000}"/>
    <cellStyle name="Normal 4 2 5 6 3 2" xfId="14842" xr:uid="{5410431F-AB86-44DC-B06E-8B554231C1D8}"/>
    <cellStyle name="Normal 4 2 5 6 3 3" xfId="23282" xr:uid="{AB995EC1-EE36-41AD-968A-093889061B60}"/>
    <cellStyle name="Normal 4 2 5 6 4" xfId="10624" xr:uid="{553AE19C-48D3-4DB6-8DDF-20AE333D04BA}"/>
    <cellStyle name="Normal 4 2 5 6 5" xfId="19065" xr:uid="{7A52B359-9964-43B1-9AF2-E6B3A5FE7FBD}"/>
    <cellStyle name="Normal 4 2 5 7" xfId="2522" xr:uid="{00000000-0005-0000-0000-0000F0130000}"/>
    <cellStyle name="Normal 4 2 5 7 2" xfId="6805" xr:uid="{00000000-0005-0000-0000-0000F1130000}"/>
    <cellStyle name="Normal 4 2 5 7 2 2" xfId="15255" xr:uid="{0A261736-5D4F-4518-9B85-339366A17FEC}"/>
    <cellStyle name="Normal 4 2 5 7 2 3" xfId="23695" xr:uid="{1AB7DA99-1B10-4935-B1AD-E78173840E25}"/>
    <cellStyle name="Normal 4 2 5 7 3" xfId="11037" xr:uid="{FCC6EDAD-98DA-4A57-9914-158FE927B418}"/>
    <cellStyle name="Normal 4 2 5 7 4" xfId="19478" xr:uid="{BE0B7B79-1FE0-43F2-9538-C25D2F8EF13B}"/>
    <cellStyle name="Normal 4 2 5 8" xfId="4740" xr:uid="{00000000-0005-0000-0000-0000F2130000}"/>
    <cellStyle name="Normal 4 2 5 8 2" xfId="13190" xr:uid="{6131FF02-1789-499A-A2B2-231F8D74156C}"/>
    <cellStyle name="Normal 4 2 5 8 3" xfId="21630" xr:uid="{5CED1AF5-4CEF-4669-A843-192322FD50D4}"/>
    <cellStyle name="Normal 4 2 5 9" xfId="8972" xr:uid="{5184087C-542F-4034-A539-51D6FFEA412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721D0764-53D9-4A97-BCCF-034A3E4748DC}"/>
    <cellStyle name="Normal 4 2 6 2 2 2 3" xfId="24190" xr:uid="{1A82B45D-ABB7-4822-B736-C67BA7664F67}"/>
    <cellStyle name="Normal 4 2 6 2 2 3" xfId="11532" xr:uid="{EDEA5423-4345-4B59-8BD7-F0BBB342DD3D}"/>
    <cellStyle name="Normal 4 2 6 2 2 4" xfId="19973" xr:uid="{5193AE9B-C74C-4BFA-A649-6578CFC54849}"/>
    <cellStyle name="Normal 4 2 6 2 3" xfId="5155" xr:uid="{00000000-0005-0000-0000-0000F7130000}"/>
    <cellStyle name="Normal 4 2 6 2 3 2" xfId="13605" xr:uid="{2CF074F2-AD40-48B6-A875-1BAF8611CAE6}"/>
    <cellStyle name="Normal 4 2 6 2 3 3" xfId="22045" xr:uid="{7C86859C-CCE7-47A3-8553-81AC6D518410}"/>
    <cellStyle name="Normal 4 2 6 2 4" xfId="9387" xr:uid="{45411605-A0B9-4705-BA1C-01F3057766D9}"/>
    <cellStyle name="Normal 4 2 6 2 5" xfId="17828" xr:uid="{F2757607-3800-44D0-8420-A152DA51C8FB}"/>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040FA8E7-55FA-4EB2-A7A4-15517658DE93}"/>
    <cellStyle name="Normal 4 2 6 3 2 2 3" xfId="24603" xr:uid="{5BDF8318-3237-41A2-A44C-50ED60C5236F}"/>
    <cellStyle name="Normal 4 2 6 3 2 3" xfId="11945" xr:uid="{067D5452-C718-4C97-9A6A-427F639BB68A}"/>
    <cellStyle name="Normal 4 2 6 3 2 4" xfId="20386" xr:uid="{2484D84B-575B-4692-A60D-660EF7BEE943}"/>
    <cellStyle name="Normal 4 2 6 3 3" xfId="5568" xr:uid="{00000000-0005-0000-0000-0000FB130000}"/>
    <cellStyle name="Normal 4 2 6 3 3 2" xfId="14018" xr:uid="{D79AD69A-31A7-4926-9925-FAAA74CD13A6}"/>
    <cellStyle name="Normal 4 2 6 3 3 3" xfId="22458" xr:uid="{F5AA7ED9-E29A-4D98-8EC9-C9FD2701BAC8}"/>
    <cellStyle name="Normal 4 2 6 3 4" xfId="9800" xr:uid="{A1664792-5AF0-4DDA-A98B-8C6FB8C4BA09}"/>
    <cellStyle name="Normal 4 2 6 3 5" xfId="18241" xr:uid="{971A0F02-A8C8-481D-9539-900A82568FBD}"/>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610C38C0-52DC-4ABD-BACA-634464A20CBE}"/>
    <cellStyle name="Normal 4 2 6 4 2 2 3" xfId="25016" xr:uid="{70C974CF-B7CF-42EA-B1A9-5A0331134330}"/>
    <cellStyle name="Normal 4 2 6 4 2 3" xfId="12358" xr:uid="{F824A7CD-64B3-4734-A751-D6CAA630D4A6}"/>
    <cellStyle name="Normal 4 2 6 4 2 4" xfId="20799" xr:uid="{3545069B-D9AA-4CEB-9656-15526A600FF2}"/>
    <cellStyle name="Normal 4 2 6 4 3" xfId="5981" xr:uid="{00000000-0005-0000-0000-0000FF130000}"/>
    <cellStyle name="Normal 4 2 6 4 3 2" xfId="14431" xr:uid="{CD779704-3423-45DB-BF1B-25206AEFDF8E}"/>
    <cellStyle name="Normal 4 2 6 4 3 3" xfId="22871" xr:uid="{CC8317A7-BD79-4E7B-84BA-854F2A9D0EAF}"/>
    <cellStyle name="Normal 4 2 6 4 4" xfId="10213" xr:uid="{E647A0C7-811C-4CB0-B4CD-BCF8927AFB9E}"/>
    <cellStyle name="Normal 4 2 6 4 5" xfId="18654" xr:uid="{CD0C5E76-9D46-48BD-865E-473C76624EA4}"/>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1438A40F-1D40-4104-B9FE-E6F6003EA161}"/>
    <cellStyle name="Normal 4 2 6 5 2 2 3" xfId="25429" xr:uid="{2152C3E4-A183-4A61-A736-531DACD2D8BF}"/>
    <cellStyle name="Normal 4 2 6 5 2 3" xfId="12771" xr:uid="{074C3852-CDB0-414F-B8EF-519F25DFD5F5}"/>
    <cellStyle name="Normal 4 2 6 5 2 4" xfId="21212" xr:uid="{573679B4-8DB0-431E-8559-7C5987E8C759}"/>
    <cellStyle name="Normal 4 2 6 5 3" xfId="6394" xr:uid="{00000000-0005-0000-0000-000003140000}"/>
    <cellStyle name="Normal 4 2 6 5 3 2" xfId="14844" xr:uid="{530AF52B-5F34-4059-801E-AC320CD455F0}"/>
    <cellStyle name="Normal 4 2 6 5 3 3" xfId="23284" xr:uid="{55668B9A-A132-4617-ADC7-F22E0EE95E2D}"/>
    <cellStyle name="Normal 4 2 6 5 4" xfId="10626" xr:uid="{A21E1E36-5A03-4A72-9F12-085D072B98BA}"/>
    <cellStyle name="Normal 4 2 6 5 5" xfId="19067" xr:uid="{3A12108B-B9FB-4AD0-A65B-524301119E38}"/>
    <cellStyle name="Normal 4 2 6 6" xfId="2524" xr:uid="{00000000-0005-0000-0000-000004140000}"/>
    <cellStyle name="Normal 4 2 6 6 2" xfId="6807" xr:uid="{00000000-0005-0000-0000-000005140000}"/>
    <cellStyle name="Normal 4 2 6 6 2 2" xfId="15257" xr:uid="{F486F6F9-2ABD-454E-AD3A-15B6F2C58634}"/>
    <cellStyle name="Normal 4 2 6 6 2 3" xfId="23697" xr:uid="{C7A43639-11D1-4A7D-A8B4-D7D583DD72B6}"/>
    <cellStyle name="Normal 4 2 6 6 3" xfId="11039" xr:uid="{B1DE434D-E289-4645-ADEA-64CD59169F78}"/>
    <cellStyle name="Normal 4 2 6 6 4" xfId="19480" xr:uid="{53C4C40B-7533-4537-A0BD-8A70D7C3AA27}"/>
    <cellStyle name="Normal 4 2 6 7" xfId="4742" xr:uid="{00000000-0005-0000-0000-000006140000}"/>
    <cellStyle name="Normal 4 2 6 7 2" xfId="13192" xr:uid="{A397D1BD-BD1E-40E9-AF0C-1350B773DFB7}"/>
    <cellStyle name="Normal 4 2 6 7 3" xfId="21632" xr:uid="{E0C95077-B70F-42ED-B349-23B7E47706CB}"/>
    <cellStyle name="Normal 4 2 6 8" xfId="8974" xr:uid="{1FA66D60-61E7-4EE0-A292-D431DE758C28}"/>
    <cellStyle name="Normal 4 2 6 9" xfId="17415" xr:uid="{88757141-6BFB-4F5B-9A3C-C415C3270F31}"/>
    <cellStyle name="Normal 4 3" xfId="366" xr:uid="{00000000-0005-0000-0000-000007140000}"/>
    <cellStyle name="Normal 4 3 10" xfId="8975" xr:uid="{C7C40942-3CAF-458E-A6CE-F0A20D79FED5}"/>
    <cellStyle name="Normal 4 3 11" xfId="17416" xr:uid="{ECA3DB44-0838-4F56-8138-81EEE789C7A4}"/>
    <cellStyle name="Normal 4 3 2" xfId="367" xr:uid="{00000000-0005-0000-0000-000008140000}"/>
    <cellStyle name="Normal 4 3 2 2" xfId="368" xr:uid="{00000000-0005-0000-0000-000009140000}"/>
    <cellStyle name="Normal 4 3 2 2 2" xfId="369" xr:uid="{00000000-0005-0000-0000-00000A140000}"/>
    <cellStyle name="Normal 4 3 2 2 2 10" xfId="8976" xr:uid="{1AC8F511-2300-4645-85AD-E76EB88AECFF}"/>
    <cellStyle name="Normal 4 3 2 2 2 11" xfId="17417" xr:uid="{83B2660B-8046-48A1-A684-A6B87C6E7B89}"/>
    <cellStyle name="Normal 4 3 2 2 2 2" xfId="370" xr:uid="{00000000-0005-0000-0000-00000B140000}"/>
    <cellStyle name="Normal 4 3 2 2 2 2 10" xfId="17418" xr:uid="{94EE008F-3B4A-442A-8CAD-E84657F56FA4}"/>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EC41032B-C18F-4DD0-8F4D-DDE969E6467A}"/>
    <cellStyle name="Normal 4 3 2 2 2 2 2 2 2 2 3" xfId="24194" xr:uid="{300664BE-20F5-4A6C-A5D6-8A7DB5597927}"/>
    <cellStyle name="Normal 4 3 2 2 2 2 2 2 2 3" xfId="11536" xr:uid="{69A6DD2E-36F8-43B8-A440-D814E2878090}"/>
    <cellStyle name="Normal 4 3 2 2 2 2 2 2 2 4" xfId="19977" xr:uid="{5330BF2A-66C5-42C3-A303-4E18917024F1}"/>
    <cellStyle name="Normal 4 3 2 2 2 2 2 2 3" xfId="5159" xr:uid="{00000000-0005-0000-0000-000010140000}"/>
    <cellStyle name="Normal 4 3 2 2 2 2 2 2 3 2" xfId="13609" xr:uid="{9EE300AB-A054-4F8C-A9CE-7AD545E8627B}"/>
    <cellStyle name="Normal 4 3 2 2 2 2 2 2 3 3" xfId="22049" xr:uid="{D3780601-EE7E-4D6C-85F5-5E964A1689CF}"/>
    <cellStyle name="Normal 4 3 2 2 2 2 2 2 4" xfId="9391" xr:uid="{41E8C123-ECB7-45C5-BEAA-9B8A1F2C277E}"/>
    <cellStyle name="Normal 4 3 2 2 2 2 2 2 5" xfId="17832" xr:uid="{B6D86F2F-7D43-44EA-8331-8BED77E6A119}"/>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00F9D4B7-5C6F-48AA-95C4-D9388059F56D}"/>
    <cellStyle name="Normal 4 3 2 2 2 2 2 3 2 2 3" xfId="24607" xr:uid="{886204AF-6718-4D29-913D-9212A559AEB4}"/>
    <cellStyle name="Normal 4 3 2 2 2 2 2 3 2 3" xfId="11949" xr:uid="{831227DC-B824-46F6-AA29-BDA000151853}"/>
    <cellStyle name="Normal 4 3 2 2 2 2 2 3 2 4" xfId="20390" xr:uid="{080AF4F6-AF91-47C5-9F3E-1C07C7ABF1B7}"/>
    <cellStyle name="Normal 4 3 2 2 2 2 2 3 3" xfId="5572" xr:uid="{00000000-0005-0000-0000-000014140000}"/>
    <cellStyle name="Normal 4 3 2 2 2 2 2 3 3 2" xfId="14022" xr:uid="{A03F1498-EAD1-4FD4-B19B-1B242A605C88}"/>
    <cellStyle name="Normal 4 3 2 2 2 2 2 3 3 3" xfId="22462" xr:uid="{DB1A5ECB-0182-4E2F-9AB0-423DEB72B4E4}"/>
    <cellStyle name="Normal 4 3 2 2 2 2 2 3 4" xfId="9804" xr:uid="{E737A841-F8BB-4959-9E82-DE9EFA29F3F6}"/>
    <cellStyle name="Normal 4 3 2 2 2 2 2 3 5" xfId="18245" xr:uid="{95B2E651-29CE-4511-BD75-A24F65C73107}"/>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3B75B421-09D0-428E-8CD3-D8C3FEECBB47}"/>
    <cellStyle name="Normal 4 3 2 2 2 2 2 4 2 2 3" xfId="25020" xr:uid="{F737CCEC-F889-41EB-8257-6164059ABB54}"/>
    <cellStyle name="Normal 4 3 2 2 2 2 2 4 2 3" xfId="12362" xr:uid="{90A6A5E4-A141-4B85-AEB9-0BE46C03A05C}"/>
    <cellStyle name="Normal 4 3 2 2 2 2 2 4 2 4" xfId="20803" xr:uid="{321A3048-0777-41EC-8FC0-4892C6E20462}"/>
    <cellStyle name="Normal 4 3 2 2 2 2 2 4 3" xfId="5985" xr:uid="{00000000-0005-0000-0000-000018140000}"/>
    <cellStyle name="Normal 4 3 2 2 2 2 2 4 3 2" xfId="14435" xr:uid="{8EF79A69-BF79-49EF-AD20-C55FEF8000AD}"/>
    <cellStyle name="Normal 4 3 2 2 2 2 2 4 3 3" xfId="22875" xr:uid="{AAB078AE-8C0E-497D-A4AA-61A18301C1D1}"/>
    <cellStyle name="Normal 4 3 2 2 2 2 2 4 4" xfId="10217" xr:uid="{52EA5C95-56E8-447F-9FEE-03A82B34B842}"/>
    <cellStyle name="Normal 4 3 2 2 2 2 2 4 5" xfId="18658" xr:uid="{F617E2BE-4128-42C0-A698-43D9151E7041}"/>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BE6DB33F-7BF1-4815-8049-F0E7F0550BFC}"/>
    <cellStyle name="Normal 4 3 2 2 2 2 2 5 2 2 3" xfId="25433" xr:uid="{C8D37C8C-EF60-458F-B174-F0330A4177BC}"/>
    <cellStyle name="Normal 4 3 2 2 2 2 2 5 2 3" xfId="12775" xr:uid="{7198010A-0C5C-4CE1-B1B1-A60F14E18BA8}"/>
    <cellStyle name="Normal 4 3 2 2 2 2 2 5 2 4" xfId="21216" xr:uid="{EB883073-E8C8-4D82-A486-95318CF31BC3}"/>
    <cellStyle name="Normal 4 3 2 2 2 2 2 5 3" xfId="6398" xr:uid="{00000000-0005-0000-0000-00001C140000}"/>
    <cellStyle name="Normal 4 3 2 2 2 2 2 5 3 2" xfId="14848" xr:uid="{422C3577-594A-4BD6-AE77-96BA9691618F}"/>
    <cellStyle name="Normal 4 3 2 2 2 2 2 5 3 3" xfId="23288" xr:uid="{027C449C-BF6B-4904-930A-4F70F84C0AC8}"/>
    <cellStyle name="Normal 4 3 2 2 2 2 2 5 4" xfId="10630" xr:uid="{D24051C3-3547-45E1-985B-2E864EC02DAA}"/>
    <cellStyle name="Normal 4 3 2 2 2 2 2 5 5" xfId="19071" xr:uid="{ADAB39B5-BBD9-4F8F-9144-9C5EF1793105}"/>
    <cellStyle name="Normal 4 3 2 2 2 2 2 6" xfId="2528" xr:uid="{00000000-0005-0000-0000-00001D140000}"/>
    <cellStyle name="Normal 4 3 2 2 2 2 2 6 2" xfId="6811" xr:uid="{00000000-0005-0000-0000-00001E140000}"/>
    <cellStyle name="Normal 4 3 2 2 2 2 2 6 2 2" xfId="15261" xr:uid="{E5EF5F4D-D622-4230-9222-935EBCB32FDC}"/>
    <cellStyle name="Normal 4 3 2 2 2 2 2 6 2 3" xfId="23701" xr:uid="{409583AC-5597-4519-87A9-67CE20B5D936}"/>
    <cellStyle name="Normal 4 3 2 2 2 2 2 6 3" xfId="11043" xr:uid="{22C1D6F7-F65D-442D-AEC1-55C8137979EF}"/>
    <cellStyle name="Normal 4 3 2 2 2 2 2 6 4" xfId="19484" xr:uid="{79EFF31A-0711-4FA9-828C-93A666041F4B}"/>
    <cellStyle name="Normal 4 3 2 2 2 2 2 7" xfId="4746" xr:uid="{00000000-0005-0000-0000-00001F140000}"/>
    <cellStyle name="Normal 4 3 2 2 2 2 2 7 2" xfId="13196" xr:uid="{AA4C32E4-7EF0-4F9F-AC45-86ABD46E031B}"/>
    <cellStyle name="Normal 4 3 2 2 2 2 2 7 3" xfId="21636" xr:uid="{C3C5A8C6-D62A-498D-89B0-F86D0E188049}"/>
    <cellStyle name="Normal 4 3 2 2 2 2 2 8" xfId="8978" xr:uid="{A7DBAB4D-CDE0-46C0-AB70-BA2495C41ECE}"/>
    <cellStyle name="Normal 4 3 2 2 2 2 2 9" xfId="17419" xr:uid="{34C0C4FC-6C8B-4BAF-B221-FCE39B6B046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F76ED7DA-B0D4-416C-A8C9-8BA74FCFFC92}"/>
    <cellStyle name="Normal 4 3 2 2 2 2 3 2 2 3" xfId="24193" xr:uid="{A5A2FC24-8192-452A-8996-051EBD025477}"/>
    <cellStyle name="Normal 4 3 2 2 2 2 3 2 3" xfId="11535" xr:uid="{CAC64A97-236B-4CB1-AFF3-3390F6F034E2}"/>
    <cellStyle name="Normal 4 3 2 2 2 2 3 2 4" xfId="19976" xr:uid="{AAD8DF55-0421-40BD-BB31-B56A0B4E939A}"/>
    <cellStyle name="Normal 4 3 2 2 2 2 3 3" xfId="5158" xr:uid="{00000000-0005-0000-0000-000023140000}"/>
    <cellStyle name="Normal 4 3 2 2 2 2 3 3 2" xfId="13608" xr:uid="{FEA859F9-608B-452B-AB7B-08673650B134}"/>
    <cellStyle name="Normal 4 3 2 2 2 2 3 3 3" xfId="22048" xr:uid="{FCFDDACD-E78E-4947-A2AB-347A7CB94701}"/>
    <cellStyle name="Normal 4 3 2 2 2 2 3 4" xfId="9390" xr:uid="{B4BB47A0-7887-4511-A4D9-C058C8F1C1A0}"/>
    <cellStyle name="Normal 4 3 2 2 2 2 3 5" xfId="17831" xr:uid="{D4C10F97-5EBA-4462-AF4C-E75C0B34E152}"/>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54996DC0-DD13-4151-9712-333E9BE53F2B}"/>
    <cellStyle name="Normal 4 3 2 2 2 2 4 2 2 3" xfId="24606" xr:uid="{FAD93357-3965-488D-BC69-2BFB1003EB6E}"/>
    <cellStyle name="Normal 4 3 2 2 2 2 4 2 3" xfId="11948" xr:uid="{1C77B58C-00FE-4CDD-9669-3ED6B6AD919C}"/>
    <cellStyle name="Normal 4 3 2 2 2 2 4 2 4" xfId="20389" xr:uid="{F02BA472-9A74-4FA7-8855-9E680A81754B}"/>
    <cellStyle name="Normal 4 3 2 2 2 2 4 3" xfId="5571" xr:uid="{00000000-0005-0000-0000-000027140000}"/>
    <cellStyle name="Normal 4 3 2 2 2 2 4 3 2" xfId="14021" xr:uid="{E633332D-97FB-4692-947C-D8FA1EC453B6}"/>
    <cellStyle name="Normal 4 3 2 2 2 2 4 3 3" xfId="22461" xr:uid="{35B8983A-62EE-4FA8-BF63-110D357FEFCF}"/>
    <cellStyle name="Normal 4 3 2 2 2 2 4 4" xfId="9803" xr:uid="{732A80FB-396D-4FE9-841F-DB13DF655ABD}"/>
    <cellStyle name="Normal 4 3 2 2 2 2 4 5" xfId="18244" xr:uid="{B4E01B49-7FF2-4A4C-8FA0-098E8C5475F7}"/>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746B03FD-3F19-4C63-BAD4-87457555B07D}"/>
    <cellStyle name="Normal 4 3 2 2 2 2 5 2 2 3" xfId="25019" xr:uid="{5488BB7B-B7A6-4C87-A6F3-E32F379601EE}"/>
    <cellStyle name="Normal 4 3 2 2 2 2 5 2 3" xfId="12361" xr:uid="{9C8BB663-2660-4105-BAD3-6E431CC4E54C}"/>
    <cellStyle name="Normal 4 3 2 2 2 2 5 2 4" xfId="20802" xr:uid="{196C9DE5-DA31-4ABA-9CCC-618B0CEC41BB}"/>
    <cellStyle name="Normal 4 3 2 2 2 2 5 3" xfId="5984" xr:uid="{00000000-0005-0000-0000-00002B140000}"/>
    <cellStyle name="Normal 4 3 2 2 2 2 5 3 2" xfId="14434" xr:uid="{A94841F2-0EA1-49BF-884A-CBB636931111}"/>
    <cellStyle name="Normal 4 3 2 2 2 2 5 3 3" xfId="22874" xr:uid="{4406D174-2107-4B18-87BE-C9095149104B}"/>
    <cellStyle name="Normal 4 3 2 2 2 2 5 4" xfId="10216" xr:uid="{E196A928-0C77-48C6-ADCF-B58C1AE0A808}"/>
    <cellStyle name="Normal 4 3 2 2 2 2 5 5" xfId="18657" xr:uid="{BA9577A6-4C09-44F3-90AF-C5109C519C2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C814B55-4EEA-416E-B769-BE5799978AFA}"/>
    <cellStyle name="Normal 4 3 2 2 2 2 6 2 2 3" xfId="25432" xr:uid="{D7FFA567-C7AB-415D-A9F0-12811C4821E7}"/>
    <cellStyle name="Normal 4 3 2 2 2 2 6 2 3" xfId="12774" xr:uid="{F22A75DD-589B-4913-A359-3E6F58DECB8C}"/>
    <cellStyle name="Normal 4 3 2 2 2 2 6 2 4" xfId="21215" xr:uid="{7CFB8D6B-FC9F-4E2E-8EBD-1BFC9A23A6C6}"/>
    <cellStyle name="Normal 4 3 2 2 2 2 6 3" xfId="6397" xr:uid="{00000000-0005-0000-0000-00002F140000}"/>
    <cellStyle name="Normal 4 3 2 2 2 2 6 3 2" xfId="14847" xr:uid="{92A34EB1-8122-48B7-B226-BCB1640A9C01}"/>
    <cellStyle name="Normal 4 3 2 2 2 2 6 3 3" xfId="23287" xr:uid="{60DD63B8-812D-46B4-B435-F808ABF486B0}"/>
    <cellStyle name="Normal 4 3 2 2 2 2 6 4" xfId="10629" xr:uid="{3133BDB4-5AC5-4A03-80AC-BAFC3ABEEA86}"/>
    <cellStyle name="Normal 4 3 2 2 2 2 6 5" xfId="19070" xr:uid="{D2EB40A6-3058-449C-9FB6-64B5A4D23F12}"/>
    <cellStyle name="Normal 4 3 2 2 2 2 7" xfId="2527" xr:uid="{00000000-0005-0000-0000-000030140000}"/>
    <cellStyle name="Normal 4 3 2 2 2 2 7 2" xfId="6810" xr:uid="{00000000-0005-0000-0000-000031140000}"/>
    <cellStyle name="Normal 4 3 2 2 2 2 7 2 2" xfId="15260" xr:uid="{32F4B448-E055-4C5F-B563-D67656B970C9}"/>
    <cellStyle name="Normal 4 3 2 2 2 2 7 2 3" xfId="23700" xr:uid="{D96E9F91-041C-4603-9308-CD88AC4F2789}"/>
    <cellStyle name="Normal 4 3 2 2 2 2 7 3" xfId="11042" xr:uid="{7691834A-B0C9-4C74-B5D4-5403B5E504CE}"/>
    <cellStyle name="Normal 4 3 2 2 2 2 7 4" xfId="19483" xr:uid="{E22C486A-70F1-4229-BC95-07DB71A6A829}"/>
    <cellStyle name="Normal 4 3 2 2 2 2 8" xfId="4745" xr:uid="{00000000-0005-0000-0000-000032140000}"/>
    <cellStyle name="Normal 4 3 2 2 2 2 8 2" xfId="13195" xr:uid="{BED62321-45DD-4A26-9BA9-B159EA2DDA0C}"/>
    <cellStyle name="Normal 4 3 2 2 2 2 8 3" xfId="21635" xr:uid="{E2456B53-36EB-43E1-84D7-57160FA28AF6}"/>
    <cellStyle name="Normal 4 3 2 2 2 2 9" xfId="8977" xr:uid="{CD256873-4FC5-4BE2-AA0E-22FD3566F1A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EF2DBEE1-63A1-42A8-A553-048B8B24885A}"/>
    <cellStyle name="Normal 4 3 2 2 2 3 2 2 2 3" xfId="24195" xr:uid="{3B01F285-424B-47E0-9071-10DE5C2A7028}"/>
    <cellStyle name="Normal 4 3 2 2 2 3 2 2 3" xfId="11537" xr:uid="{B1AFB91B-9A01-41FD-951C-89FA7CC6C078}"/>
    <cellStyle name="Normal 4 3 2 2 2 3 2 2 4" xfId="19978" xr:uid="{51FB2084-0014-4AB6-ACDB-2F6B2069B284}"/>
    <cellStyle name="Normal 4 3 2 2 2 3 2 3" xfId="5160" xr:uid="{00000000-0005-0000-0000-000037140000}"/>
    <cellStyle name="Normal 4 3 2 2 2 3 2 3 2" xfId="13610" xr:uid="{E1F4C2FB-DD8D-4CCF-9211-E1584BE72C11}"/>
    <cellStyle name="Normal 4 3 2 2 2 3 2 3 3" xfId="22050" xr:uid="{464C5DCC-DCA5-46FC-923A-21B086320D9A}"/>
    <cellStyle name="Normal 4 3 2 2 2 3 2 4" xfId="9392" xr:uid="{2891D8D9-9B24-4FE5-8459-0981751A4AD0}"/>
    <cellStyle name="Normal 4 3 2 2 2 3 2 5" xfId="17833" xr:uid="{40642A49-75BF-474B-93F1-8D5D0DD1EFAD}"/>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ED78BCD7-1C5B-4C21-8E98-8344F58C4381}"/>
    <cellStyle name="Normal 4 3 2 2 2 3 3 2 2 3" xfId="24608" xr:uid="{E6E7D307-927A-40E0-A7C3-90B358BF6778}"/>
    <cellStyle name="Normal 4 3 2 2 2 3 3 2 3" xfId="11950" xr:uid="{919A31ED-1EAC-4972-B930-A279DB5E496C}"/>
    <cellStyle name="Normal 4 3 2 2 2 3 3 2 4" xfId="20391" xr:uid="{C49DE799-5830-4979-B98A-F8D1FCC3241E}"/>
    <cellStyle name="Normal 4 3 2 2 2 3 3 3" xfId="5573" xr:uid="{00000000-0005-0000-0000-00003B140000}"/>
    <cellStyle name="Normal 4 3 2 2 2 3 3 3 2" xfId="14023" xr:uid="{CB455831-84EA-4D4C-B702-14B8284A6330}"/>
    <cellStyle name="Normal 4 3 2 2 2 3 3 3 3" xfId="22463" xr:uid="{034636F5-7B6B-4594-BA77-265ADCBC8D27}"/>
    <cellStyle name="Normal 4 3 2 2 2 3 3 4" xfId="9805" xr:uid="{EFCF46AA-92AF-458E-9112-D3C1749FB606}"/>
    <cellStyle name="Normal 4 3 2 2 2 3 3 5" xfId="18246" xr:uid="{8FFF5E3F-0D4E-4363-8D32-A4F5F4EACEE3}"/>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EC5E4E93-D085-4031-A477-23ECA907B936}"/>
    <cellStyle name="Normal 4 3 2 2 2 3 4 2 2 3" xfId="25021" xr:uid="{9A4A8861-106E-41B1-8637-253F66C8E88B}"/>
    <cellStyle name="Normal 4 3 2 2 2 3 4 2 3" xfId="12363" xr:uid="{76453DC7-D5F7-4F0D-9AC1-C04E41D3D344}"/>
    <cellStyle name="Normal 4 3 2 2 2 3 4 2 4" xfId="20804" xr:uid="{66E7376B-E855-4F91-A94F-DD0DA0EC9A4D}"/>
    <cellStyle name="Normal 4 3 2 2 2 3 4 3" xfId="5986" xr:uid="{00000000-0005-0000-0000-00003F140000}"/>
    <cellStyle name="Normal 4 3 2 2 2 3 4 3 2" xfId="14436" xr:uid="{07ED1C59-455C-417C-9470-7D2AD774AEC4}"/>
    <cellStyle name="Normal 4 3 2 2 2 3 4 3 3" xfId="22876" xr:uid="{FF09C3A9-BE2F-4612-8E3A-33B15644C0EC}"/>
    <cellStyle name="Normal 4 3 2 2 2 3 4 4" xfId="10218" xr:uid="{F6FB48E5-5476-48ED-871E-06A6A985EE85}"/>
    <cellStyle name="Normal 4 3 2 2 2 3 4 5" xfId="18659" xr:uid="{21C70EC8-A923-4DD7-8653-C7F2C5396A31}"/>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2C3F9B49-0AD5-4B48-A0F8-984078091570}"/>
    <cellStyle name="Normal 4 3 2 2 2 3 5 2 2 3" xfId="25434" xr:uid="{10AF2B8B-1825-488D-8C65-8ACCCA9B64AA}"/>
    <cellStyle name="Normal 4 3 2 2 2 3 5 2 3" xfId="12776" xr:uid="{0C89EDE2-A6EB-4E45-9A07-D5E957783DD0}"/>
    <cellStyle name="Normal 4 3 2 2 2 3 5 2 4" xfId="21217" xr:uid="{D3F4F94C-CE69-4911-B6AF-A3BB6496E6C4}"/>
    <cellStyle name="Normal 4 3 2 2 2 3 5 3" xfId="6399" xr:uid="{00000000-0005-0000-0000-000043140000}"/>
    <cellStyle name="Normal 4 3 2 2 2 3 5 3 2" xfId="14849" xr:uid="{4C69D6E8-A78D-4E6D-99D4-9FAB38419489}"/>
    <cellStyle name="Normal 4 3 2 2 2 3 5 3 3" xfId="23289" xr:uid="{099E3F50-088F-41AD-9906-2466FFAEB20E}"/>
    <cellStyle name="Normal 4 3 2 2 2 3 5 4" xfId="10631" xr:uid="{491DAF84-B1EB-4FF5-A9B1-0B503B56FC51}"/>
    <cellStyle name="Normal 4 3 2 2 2 3 5 5" xfId="19072" xr:uid="{C06625C5-66A4-423A-BDA3-DB961E0234C3}"/>
    <cellStyle name="Normal 4 3 2 2 2 3 6" xfId="2529" xr:uid="{00000000-0005-0000-0000-000044140000}"/>
    <cellStyle name="Normal 4 3 2 2 2 3 6 2" xfId="6812" xr:uid="{00000000-0005-0000-0000-000045140000}"/>
    <cellStyle name="Normal 4 3 2 2 2 3 6 2 2" xfId="15262" xr:uid="{B85095AF-3D0E-410D-8FB4-667083879D1E}"/>
    <cellStyle name="Normal 4 3 2 2 2 3 6 2 3" xfId="23702" xr:uid="{15839CEE-8FA1-4DE4-B271-DCBA94F718DD}"/>
    <cellStyle name="Normal 4 3 2 2 2 3 6 3" xfId="11044" xr:uid="{1D3CF995-694F-4A07-B892-445518907E8B}"/>
    <cellStyle name="Normal 4 3 2 2 2 3 6 4" xfId="19485" xr:uid="{A5520CE1-9DB6-4C99-91CE-269BE42081B9}"/>
    <cellStyle name="Normal 4 3 2 2 2 3 7" xfId="4747" xr:uid="{00000000-0005-0000-0000-000046140000}"/>
    <cellStyle name="Normal 4 3 2 2 2 3 7 2" xfId="13197" xr:uid="{3822776C-DA8D-4342-9835-F4C5208A554F}"/>
    <cellStyle name="Normal 4 3 2 2 2 3 7 3" xfId="21637" xr:uid="{EACAE34E-34B3-4441-817F-EE425F215CC8}"/>
    <cellStyle name="Normal 4 3 2 2 2 3 8" xfId="8979" xr:uid="{3928F50C-FD0E-47B0-A4B7-AC89C108E8AD}"/>
    <cellStyle name="Normal 4 3 2 2 2 3 9" xfId="17420" xr:uid="{23B3071C-71EB-470E-B154-95D4F8B04465}"/>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D0E8002F-A764-4E9A-9F12-0B52D7241501}"/>
    <cellStyle name="Normal 4 3 2 2 2 4 2 2 3" xfId="24192" xr:uid="{7EF0A657-39AD-4DB3-86D8-278341906C7E}"/>
    <cellStyle name="Normal 4 3 2 2 2 4 2 3" xfId="11534" xr:uid="{2C3E702A-44FD-4C08-B887-8329CDD2D7EF}"/>
    <cellStyle name="Normal 4 3 2 2 2 4 2 4" xfId="19975" xr:uid="{5D1EC4E7-FA20-467D-A866-7874E2F4F46D}"/>
    <cellStyle name="Normal 4 3 2 2 2 4 3" xfId="5157" xr:uid="{00000000-0005-0000-0000-00004A140000}"/>
    <cellStyle name="Normal 4 3 2 2 2 4 3 2" xfId="13607" xr:uid="{320408AE-DF8B-4DE1-9DCB-DBEF30607C13}"/>
    <cellStyle name="Normal 4 3 2 2 2 4 3 3" xfId="22047" xr:uid="{C5A91CF5-986D-468B-A34B-31DF6E807FC9}"/>
    <cellStyle name="Normal 4 3 2 2 2 4 4" xfId="9389" xr:uid="{234DFE1D-5FE0-4517-B496-A510275D6E15}"/>
    <cellStyle name="Normal 4 3 2 2 2 4 5" xfId="17830" xr:uid="{9255AAA5-C249-41C2-8952-13E19802CF2B}"/>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8352A032-9F3D-41B1-A0BD-A9DAB58273A2}"/>
    <cellStyle name="Normal 4 3 2 2 2 5 2 2 3" xfId="24605" xr:uid="{03A78442-6706-4F0C-BEBC-6BEC35A1F4F8}"/>
    <cellStyle name="Normal 4 3 2 2 2 5 2 3" xfId="11947" xr:uid="{A1D53E5C-804C-4FFE-9F74-4E48FE492555}"/>
    <cellStyle name="Normal 4 3 2 2 2 5 2 4" xfId="20388" xr:uid="{A44FBF4F-C0A8-4ABA-9951-9A2738583922}"/>
    <cellStyle name="Normal 4 3 2 2 2 5 3" xfId="5570" xr:uid="{00000000-0005-0000-0000-00004E140000}"/>
    <cellStyle name="Normal 4 3 2 2 2 5 3 2" xfId="14020" xr:uid="{AD7C539F-01A8-4E26-9C5D-6DC14BB7EFB4}"/>
    <cellStyle name="Normal 4 3 2 2 2 5 3 3" xfId="22460" xr:uid="{D06DF985-D1A9-42EC-8107-DC8495B148FA}"/>
    <cellStyle name="Normal 4 3 2 2 2 5 4" xfId="9802" xr:uid="{61A8F77F-B839-475C-A228-A733D27F088A}"/>
    <cellStyle name="Normal 4 3 2 2 2 5 5" xfId="18243" xr:uid="{59B2E21B-D381-43B8-B0C3-E2201FC14AB4}"/>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F7299976-B6D3-4ABB-A1E1-F40A5CCAB5A5}"/>
    <cellStyle name="Normal 4 3 2 2 2 6 2 2 3" xfId="25018" xr:uid="{239F3BD3-B2FB-4529-8983-843D8F4C0B24}"/>
    <cellStyle name="Normal 4 3 2 2 2 6 2 3" xfId="12360" xr:uid="{E459DB81-A1D4-426D-B391-CB6E02061B5B}"/>
    <cellStyle name="Normal 4 3 2 2 2 6 2 4" xfId="20801" xr:uid="{D5DB5875-06FE-4559-BCD9-B9D9EA8916F8}"/>
    <cellStyle name="Normal 4 3 2 2 2 6 3" xfId="5983" xr:uid="{00000000-0005-0000-0000-000052140000}"/>
    <cellStyle name="Normal 4 3 2 2 2 6 3 2" xfId="14433" xr:uid="{BB910E23-F5BC-46A2-A0AE-68DFCFF2CC0C}"/>
    <cellStyle name="Normal 4 3 2 2 2 6 3 3" xfId="22873" xr:uid="{F862BDAF-9FE8-46FD-AD3A-DA7CD09AF738}"/>
    <cellStyle name="Normal 4 3 2 2 2 6 4" xfId="10215" xr:uid="{D8862853-E89C-483F-8790-CEB8623F05C5}"/>
    <cellStyle name="Normal 4 3 2 2 2 6 5" xfId="18656" xr:uid="{310B659B-BF82-48FD-B1C7-E9FB46DA756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14FD7B50-4CC7-42AB-8305-077B12498B32}"/>
    <cellStyle name="Normal 4 3 2 2 2 7 2 2 3" xfId="25431" xr:uid="{EDACDE8F-0147-4AB9-9C93-39640FC96374}"/>
    <cellStyle name="Normal 4 3 2 2 2 7 2 3" xfId="12773" xr:uid="{1B432BEB-58DD-4A1B-A7EC-E2271BBECC10}"/>
    <cellStyle name="Normal 4 3 2 2 2 7 2 4" xfId="21214" xr:uid="{2F9FE908-5697-46F9-9CD3-8113CF24DB60}"/>
    <cellStyle name="Normal 4 3 2 2 2 7 3" xfId="6396" xr:uid="{00000000-0005-0000-0000-000056140000}"/>
    <cellStyle name="Normal 4 3 2 2 2 7 3 2" xfId="14846" xr:uid="{B11AD871-351B-4FC0-8681-7B274A36C654}"/>
    <cellStyle name="Normal 4 3 2 2 2 7 3 3" xfId="23286" xr:uid="{8A104AC9-EBCB-4662-B231-6A0A173B7FBA}"/>
    <cellStyle name="Normal 4 3 2 2 2 7 4" xfId="10628" xr:uid="{E0FD7D3F-4216-40E1-A520-0E3D530D0C87}"/>
    <cellStyle name="Normal 4 3 2 2 2 7 5" xfId="19069" xr:uid="{87BB782B-C951-4441-AB69-71D7C422B3AF}"/>
    <cellStyle name="Normal 4 3 2 2 2 8" xfId="2526" xr:uid="{00000000-0005-0000-0000-000057140000}"/>
    <cellStyle name="Normal 4 3 2 2 2 8 2" xfId="6809" xr:uid="{00000000-0005-0000-0000-000058140000}"/>
    <cellStyle name="Normal 4 3 2 2 2 8 2 2" xfId="15259" xr:uid="{3B46A029-53EF-4534-92B1-BE07121DD1BE}"/>
    <cellStyle name="Normal 4 3 2 2 2 8 2 3" xfId="23699" xr:uid="{A6703E94-455E-479A-AD68-1AB0010FCE46}"/>
    <cellStyle name="Normal 4 3 2 2 2 8 3" xfId="11041" xr:uid="{924CD153-7F74-48F1-A5D0-333FE726BB2B}"/>
    <cellStyle name="Normal 4 3 2 2 2 8 4" xfId="19482" xr:uid="{B2CAF52F-E103-4585-8DA5-73A2A296C40A}"/>
    <cellStyle name="Normal 4 3 2 2 2 9" xfId="4744" xr:uid="{00000000-0005-0000-0000-000059140000}"/>
    <cellStyle name="Normal 4 3 2 2 2 9 2" xfId="13194" xr:uid="{F54DD08A-3D9E-4973-B660-5F437FA9D453}"/>
    <cellStyle name="Normal 4 3 2 2 2 9 3" xfId="21634" xr:uid="{F3AEFA5A-08CA-4F31-805B-3E4A92A5B67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D7C5E835-D9A3-4CC6-9F53-C6F2B79094EE}"/>
    <cellStyle name="Normal 4 3 3 11" xfId="17421" xr:uid="{63F9A45B-1E5F-401C-90C9-A74163A61C68}"/>
    <cellStyle name="Normal 4 3 3 2" xfId="375" xr:uid="{00000000-0005-0000-0000-00005E140000}"/>
    <cellStyle name="Normal 4 3 3 2 10" xfId="17422" xr:uid="{F7ACCB06-A0E9-49B8-A119-35904F661A54}"/>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63A64FDD-A81C-49B3-97E3-489C703F0BB9}"/>
    <cellStyle name="Normal 4 3 3 2 2 2 2 2 3" xfId="24198" xr:uid="{1DB412D3-D89A-4132-B886-96103BBE3A02}"/>
    <cellStyle name="Normal 4 3 3 2 2 2 2 3" xfId="11540" xr:uid="{D8E25A26-15A2-4DEA-9CEB-554515AD9FAD}"/>
    <cellStyle name="Normal 4 3 3 2 2 2 2 4" xfId="19981" xr:uid="{126B58F5-5B75-47DA-B664-3C859A1999F3}"/>
    <cellStyle name="Normal 4 3 3 2 2 2 3" xfId="5163" xr:uid="{00000000-0005-0000-0000-000063140000}"/>
    <cellStyle name="Normal 4 3 3 2 2 2 3 2" xfId="13613" xr:uid="{5BA9CA5E-9E45-4B6D-9E4A-EBF969FA0BFD}"/>
    <cellStyle name="Normal 4 3 3 2 2 2 3 3" xfId="22053" xr:uid="{D9AA3FC9-4A02-4E56-A122-71EE173948F8}"/>
    <cellStyle name="Normal 4 3 3 2 2 2 4" xfId="9395" xr:uid="{D4592245-5BC3-4609-9418-BA5BCABEC83A}"/>
    <cellStyle name="Normal 4 3 3 2 2 2 5" xfId="17836" xr:uid="{A905BA2C-5B5F-4F42-956A-560640547AD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B77E1275-FFAF-44DD-9C23-FC7353C38E19}"/>
    <cellStyle name="Normal 4 3 3 2 2 3 2 2 3" xfId="24611" xr:uid="{F7AF8F82-C104-4264-9CA1-67AA02974136}"/>
    <cellStyle name="Normal 4 3 3 2 2 3 2 3" xfId="11953" xr:uid="{9D22A26A-9E48-4DD0-8B30-8E7F7A330915}"/>
    <cellStyle name="Normal 4 3 3 2 2 3 2 4" xfId="20394" xr:uid="{2938B6A8-9C06-4189-A388-178B5AA1748E}"/>
    <cellStyle name="Normal 4 3 3 2 2 3 3" xfId="5576" xr:uid="{00000000-0005-0000-0000-000067140000}"/>
    <cellStyle name="Normal 4 3 3 2 2 3 3 2" xfId="14026" xr:uid="{FA9CD4EC-F097-419E-ACE3-EADCB88A5081}"/>
    <cellStyle name="Normal 4 3 3 2 2 3 3 3" xfId="22466" xr:uid="{0482DF07-4E62-45FB-A8AC-A67F2121D962}"/>
    <cellStyle name="Normal 4 3 3 2 2 3 4" xfId="9808" xr:uid="{222C89F4-B9E8-4D94-83FC-282AD10A0C0E}"/>
    <cellStyle name="Normal 4 3 3 2 2 3 5" xfId="18249" xr:uid="{15056839-816D-4BC0-83F8-3709DEAB1141}"/>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45777AC3-0521-445D-BCE4-3125CAC6830D}"/>
    <cellStyle name="Normal 4 3 3 2 2 4 2 2 3" xfId="25024" xr:uid="{C72A248C-D547-458C-BCF0-95CD3B1A646D}"/>
    <cellStyle name="Normal 4 3 3 2 2 4 2 3" xfId="12366" xr:uid="{D46C9B27-D928-41EA-8CE1-69DBBBB901E1}"/>
    <cellStyle name="Normal 4 3 3 2 2 4 2 4" xfId="20807" xr:uid="{163C5D82-E6DB-4344-8D12-C507D600CB58}"/>
    <cellStyle name="Normal 4 3 3 2 2 4 3" xfId="5989" xr:uid="{00000000-0005-0000-0000-00006B140000}"/>
    <cellStyle name="Normal 4 3 3 2 2 4 3 2" xfId="14439" xr:uid="{41DDF662-C439-41B1-9F1B-A13478AB4882}"/>
    <cellStyle name="Normal 4 3 3 2 2 4 3 3" xfId="22879" xr:uid="{814BEBEB-29B3-4325-B1B9-5D03E9A3A4FF}"/>
    <cellStyle name="Normal 4 3 3 2 2 4 4" xfId="10221" xr:uid="{9DB9469B-D2E8-41AE-AC80-A5AEF7FB5335}"/>
    <cellStyle name="Normal 4 3 3 2 2 4 5" xfId="18662" xr:uid="{7482607F-D563-47C3-8421-219BC1DA832F}"/>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E2F82880-CCBD-4424-B6FB-06DFA02F3EE1}"/>
    <cellStyle name="Normal 4 3 3 2 2 5 2 2 3" xfId="25437" xr:uid="{8EC26E77-675B-41E1-90DF-D2BAF64F1377}"/>
    <cellStyle name="Normal 4 3 3 2 2 5 2 3" xfId="12779" xr:uid="{0E9A53CF-3E90-4199-B363-87F0BB98DD8F}"/>
    <cellStyle name="Normal 4 3 3 2 2 5 2 4" xfId="21220" xr:uid="{482AAFED-CB6B-4D03-8336-5BF144128BFD}"/>
    <cellStyle name="Normal 4 3 3 2 2 5 3" xfId="6402" xr:uid="{00000000-0005-0000-0000-00006F140000}"/>
    <cellStyle name="Normal 4 3 3 2 2 5 3 2" xfId="14852" xr:uid="{042DEE7B-6614-45C1-AB94-BC77A977A4B4}"/>
    <cellStyle name="Normal 4 3 3 2 2 5 3 3" xfId="23292" xr:uid="{1FEFA4B2-5869-45F1-8155-C645C3D0B2E6}"/>
    <cellStyle name="Normal 4 3 3 2 2 5 4" xfId="10634" xr:uid="{F4FA0C56-F879-424D-A1CB-7E87802E8610}"/>
    <cellStyle name="Normal 4 3 3 2 2 5 5" xfId="19075" xr:uid="{B4F68B26-E20C-44AF-A858-AF7DE8BA2D9C}"/>
    <cellStyle name="Normal 4 3 3 2 2 6" xfId="2532" xr:uid="{00000000-0005-0000-0000-000070140000}"/>
    <cellStyle name="Normal 4 3 3 2 2 6 2" xfId="6815" xr:uid="{00000000-0005-0000-0000-000071140000}"/>
    <cellStyle name="Normal 4 3 3 2 2 6 2 2" xfId="15265" xr:uid="{DAFDF71C-F80D-4224-B54D-A5CB39ABC322}"/>
    <cellStyle name="Normal 4 3 3 2 2 6 2 3" xfId="23705" xr:uid="{10C0ED08-B899-4364-8875-197895DBF44E}"/>
    <cellStyle name="Normal 4 3 3 2 2 6 3" xfId="11047" xr:uid="{451780F5-1B9C-49CE-B59B-555F28939713}"/>
    <cellStyle name="Normal 4 3 3 2 2 6 4" xfId="19488" xr:uid="{12992997-EA19-4A11-A86D-ADCB3574F5A4}"/>
    <cellStyle name="Normal 4 3 3 2 2 7" xfId="4750" xr:uid="{00000000-0005-0000-0000-000072140000}"/>
    <cellStyle name="Normal 4 3 3 2 2 7 2" xfId="13200" xr:uid="{5AF192F4-3B44-4996-9072-CAC290CC7510}"/>
    <cellStyle name="Normal 4 3 3 2 2 7 3" xfId="21640" xr:uid="{ED290AAF-D951-48F9-9F01-1FFB311A8807}"/>
    <cellStyle name="Normal 4 3 3 2 2 8" xfId="8982" xr:uid="{A49D091C-F7E0-4B07-9A51-BED95E676791}"/>
    <cellStyle name="Normal 4 3 3 2 2 9" xfId="17423" xr:uid="{5E5B3743-8A57-474F-A2CF-220303014A24}"/>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A7761E9C-F508-4DD5-A4FB-E3C040B4985A}"/>
    <cellStyle name="Normal 4 3 3 2 3 2 2 3" xfId="24197" xr:uid="{D5804428-3450-4CB6-82D0-594ED33D694D}"/>
    <cellStyle name="Normal 4 3 3 2 3 2 3" xfId="11539" xr:uid="{E3342B89-369F-4A0C-8C09-F33702D81D43}"/>
    <cellStyle name="Normal 4 3 3 2 3 2 4" xfId="19980" xr:uid="{330B602A-527E-46E4-A3FE-22A8896FA8AB}"/>
    <cellStyle name="Normal 4 3 3 2 3 3" xfId="5162" xr:uid="{00000000-0005-0000-0000-000076140000}"/>
    <cellStyle name="Normal 4 3 3 2 3 3 2" xfId="13612" xr:uid="{934B9661-69AC-4388-B252-3000B90CA20A}"/>
    <cellStyle name="Normal 4 3 3 2 3 3 3" xfId="22052" xr:uid="{875A7AE3-0660-4A6B-AB45-9DAA60F6E1AD}"/>
    <cellStyle name="Normal 4 3 3 2 3 4" xfId="9394" xr:uid="{228CFED6-A970-4AB1-9D89-07F930BECF87}"/>
    <cellStyle name="Normal 4 3 3 2 3 5" xfId="17835" xr:uid="{680D2F1A-C870-4124-8942-3F373B483BC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F2AC7172-E977-43D8-90FE-73AF2B49875E}"/>
    <cellStyle name="Normal 4 3 3 2 4 2 2 3" xfId="24610" xr:uid="{84DC0A7C-23A7-4C0F-982D-CA6F9BA64CA5}"/>
    <cellStyle name="Normal 4 3 3 2 4 2 3" xfId="11952" xr:uid="{B5B7113E-8343-4084-92D1-04F3BF3DBD3D}"/>
    <cellStyle name="Normal 4 3 3 2 4 2 4" xfId="20393" xr:uid="{433968A0-721F-4569-A347-92D3CAE90C5C}"/>
    <cellStyle name="Normal 4 3 3 2 4 3" xfId="5575" xr:uid="{00000000-0005-0000-0000-00007A140000}"/>
    <cellStyle name="Normal 4 3 3 2 4 3 2" xfId="14025" xr:uid="{932C351D-7EAB-41AF-88B4-18F6D5627AB0}"/>
    <cellStyle name="Normal 4 3 3 2 4 3 3" xfId="22465" xr:uid="{9215FDA3-6417-4E53-B037-2F06F4B3A721}"/>
    <cellStyle name="Normal 4 3 3 2 4 4" xfId="9807" xr:uid="{C8B36294-169F-4CFF-ADC2-968729CB2C95}"/>
    <cellStyle name="Normal 4 3 3 2 4 5" xfId="18248" xr:uid="{DF8802A5-FEA0-4BDF-842C-C38F116A0CC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7E4B3950-E156-4018-9C04-697D9EDCA3DE}"/>
    <cellStyle name="Normal 4 3 3 2 5 2 2 3" xfId="25023" xr:uid="{741211EC-CAFE-4DA4-9B00-EE7A1FD58F02}"/>
    <cellStyle name="Normal 4 3 3 2 5 2 3" xfId="12365" xr:uid="{A454BA42-0452-4402-80A0-1D76C0C0645D}"/>
    <cellStyle name="Normal 4 3 3 2 5 2 4" xfId="20806" xr:uid="{8B099A12-0A79-430B-AEC2-A45EE136B69B}"/>
    <cellStyle name="Normal 4 3 3 2 5 3" xfId="5988" xr:uid="{00000000-0005-0000-0000-00007E140000}"/>
    <cellStyle name="Normal 4 3 3 2 5 3 2" xfId="14438" xr:uid="{B2BFA7FE-BB8A-46ED-A524-9CDBA5472153}"/>
    <cellStyle name="Normal 4 3 3 2 5 3 3" xfId="22878" xr:uid="{A36742CB-9CA9-4570-A390-6F708F854B9C}"/>
    <cellStyle name="Normal 4 3 3 2 5 4" xfId="10220" xr:uid="{4F2FB1F3-FCEF-4245-88FB-4A61FD656CC3}"/>
    <cellStyle name="Normal 4 3 3 2 5 5" xfId="18661" xr:uid="{22E4C131-8120-4D42-9538-9CFFBA64FDE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FBF928A2-B65D-446D-86CE-570B0568109E}"/>
    <cellStyle name="Normal 4 3 3 2 6 2 2 3" xfId="25436" xr:uid="{CAA77A49-A541-4969-B87A-A4535839AA0E}"/>
    <cellStyle name="Normal 4 3 3 2 6 2 3" xfId="12778" xr:uid="{BBE83D61-E20A-49D1-B89E-07159AFD988C}"/>
    <cellStyle name="Normal 4 3 3 2 6 2 4" xfId="21219" xr:uid="{C6F7A1EB-38AF-4959-81A6-ECA36C9F44D8}"/>
    <cellStyle name="Normal 4 3 3 2 6 3" xfId="6401" xr:uid="{00000000-0005-0000-0000-000082140000}"/>
    <cellStyle name="Normal 4 3 3 2 6 3 2" xfId="14851" xr:uid="{ECC8381C-3C72-4763-8781-2CDCE9CD74D0}"/>
    <cellStyle name="Normal 4 3 3 2 6 3 3" xfId="23291" xr:uid="{4151DC43-0F97-4B0F-9B2B-D335DEA2C4C9}"/>
    <cellStyle name="Normal 4 3 3 2 6 4" xfId="10633" xr:uid="{92F09652-127E-4F92-8E06-C01717F9139B}"/>
    <cellStyle name="Normal 4 3 3 2 6 5" xfId="19074" xr:uid="{7EB12530-AC91-4C5F-829D-6987B42BE855}"/>
    <cellStyle name="Normal 4 3 3 2 7" xfId="2531" xr:uid="{00000000-0005-0000-0000-000083140000}"/>
    <cellStyle name="Normal 4 3 3 2 7 2" xfId="6814" xr:uid="{00000000-0005-0000-0000-000084140000}"/>
    <cellStyle name="Normal 4 3 3 2 7 2 2" xfId="15264" xr:uid="{928A3064-20BC-45F3-AE04-1C72D701B742}"/>
    <cellStyle name="Normal 4 3 3 2 7 2 3" xfId="23704" xr:uid="{432D49E6-913E-49FB-B02B-B07FE88C4124}"/>
    <cellStyle name="Normal 4 3 3 2 7 3" xfId="11046" xr:uid="{A197B51B-6070-44B6-B22E-7391455DD7E9}"/>
    <cellStyle name="Normal 4 3 3 2 7 4" xfId="19487" xr:uid="{E08B9888-AB10-4A7E-A896-512571749431}"/>
    <cellStyle name="Normal 4 3 3 2 8" xfId="4749" xr:uid="{00000000-0005-0000-0000-000085140000}"/>
    <cellStyle name="Normal 4 3 3 2 8 2" xfId="13199" xr:uid="{5DB4A904-B255-4567-9693-41D7EB564074}"/>
    <cellStyle name="Normal 4 3 3 2 8 3" xfId="21639" xr:uid="{45EBF333-57E2-4D2B-AE9A-DB99F75079BE}"/>
    <cellStyle name="Normal 4 3 3 2 9" xfId="8981" xr:uid="{3B3C62C6-6813-46B4-80D2-2A1F4291149B}"/>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FF5C2C0A-AAAA-4D99-BE99-7770CCB6C5A2}"/>
    <cellStyle name="Normal 4 3 3 3 2 2 2 3" xfId="24199" xr:uid="{56B1635F-904B-4A09-92F3-FDCBCAB1A74E}"/>
    <cellStyle name="Normal 4 3 3 3 2 2 3" xfId="11541" xr:uid="{86A1C280-3E46-4A42-92FF-FBF8A834EA3B}"/>
    <cellStyle name="Normal 4 3 3 3 2 2 4" xfId="19982" xr:uid="{6B33406C-8341-4D48-86C6-238E954240E8}"/>
    <cellStyle name="Normal 4 3 3 3 2 3" xfId="5164" xr:uid="{00000000-0005-0000-0000-00008A140000}"/>
    <cellStyle name="Normal 4 3 3 3 2 3 2" xfId="13614" xr:uid="{36C49385-02F4-4F4D-AE65-0F7714CF7775}"/>
    <cellStyle name="Normal 4 3 3 3 2 3 3" xfId="22054" xr:uid="{02DD3F2D-3A7B-459B-86D4-4DFD6E69643B}"/>
    <cellStyle name="Normal 4 3 3 3 2 4" xfId="9396" xr:uid="{A21AF561-C727-4544-954D-6DA21AF6050B}"/>
    <cellStyle name="Normal 4 3 3 3 2 5" xfId="17837" xr:uid="{C6E0E268-8D6F-4877-87DD-C00B9272B09E}"/>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14628010-4E36-4379-87C5-427CC44BDAC3}"/>
    <cellStyle name="Normal 4 3 3 3 3 2 2 3" xfId="24612" xr:uid="{70760658-4DFA-48E1-B30C-53A6DCAFFFE8}"/>
    <cellStyle name="Normal 4 3 3 3 3 2 3" xfId="11954" xr:uid="{64FA9B47-B923-47E5-BCFB-A281B3F8A94A}"/>
    <cellStyle name="Normal 4 3 3 3 3 2 4" xfId="20395" xr:uid="{D7DF5783-5A7D-4146-A9DF-152C02D6F3BB}"/>
    <cellStyle name="Normal 4 3 3 3 3 3" xfId="5577" xr:uid="{00000000-0005-0000-0000-00008E140000}"/>
    <cellStyle name="Normal 4 3 3 3 3 3 2" xfId="14027" xr:uid="{62836731-6D20-4034-923C-9D35746854B1}"/>
    <cellStyle name="Normal 4 3 3 3 3 3 3" xfId="22467" xr:uid="{85D69E2E-0AD0-40E1-80A6-831F4648043A}"/>
    <cellStyle name="Normal 4 3 3 3 3 4" xfId="9809" xr:uid="{777BD309-F3BF-416F-8B05-9DC1C5C384B6}"/>
    <cellStyle name="Normal 4 3 3 3 3 5" xfId="18250" xr:uid="{42E19269-9010-4319-8BDB-233866553AC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4605F1C8-3011-4314-AE2F-FE6C26019C88}"/>
    <cellStyle name="Normal 4 3 3 3 4 2 2 3" xfId="25025" xr:uid="{1779A1EF-929B-416A-80FF-4F95EFC05446}"/>
    <cellStyle name="Normal 4 3 3 3 4 2 3" xfId="12367" xr:uid="{32827416-415B-4107-B0B5-FC2198425B2D}"/>
    <cellStyle name="Normal 4 3 3 3 4 2 4" xfId="20808" xr:uid="{F662549C-B943-4AF8-8C52-4CBAB9EF6B94}"/>
    <cellStyle name="Normal 4 3 3 3 4 3" xfId="5990" xr:uid="{00000000-0005-0000-0000-000092140000}"/>
    <cellStyle name="Normal 4 3 3 3 4 3 2" xfId="14440" xr:uid="{E9B2CFE6-0FA2-4307-B092-91C2112F0ADE}"/>
    <cellStyle name="Normal 4 3 3 3 4 3 3" xfId="22880" xr:uid="{E44E0635-E6BD-4B6A-ABEC-434F01213756}"/>
    <cellStyle name="Normal 4 3 3 3 4 4" xfId="10222" xr:uid="{5A4AE578-A4E9-4BF0-BF37-2E46327505D5}"/>
    <cellStyle name="Normal 4 3 3 3 4 5" xfId="18663" xr:uid="{A13FB1F1-B1C6-49EB-8F4F-77E0F4467286}"/>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1FD79C23-759C-4630-AE3B-6009CE8AE038}"/>
    <cellStyle name="Normal 4 3 3 3 5 2 2 3" xfId="25438" xr:uid="{387D125D-C3FB-4A0C-AC0D-211F2656166A}"/>
    <cellStyle name="Normal 4 3 3 3 5 2 3" xfId="12780" xr:uid="{1E72593E-68FF-4A00-AFC4-FB6EEA66D1CF}"/>
    <cellStyle name="Normal 4 3 3 3 5 2 4" xfId="21221" xr:uid="{5AB024B6-16F2-4113-8B19-6DF386DFCDA0}"/>
    <cellStyle name="Normal 4 3 3 3 5 3" xfId="6403" xr:uid="{00000000-0005-0000-0000-000096140000}"/>
    <cellStyle name="Normal 4 3 3 3 5 3 2" xfId="14853" xr:uid="{D54E3F6E-8D66-4261-818D-590D558E3B91}"/>
    <cellStyle name="Normal 4 3 3 3 5 3 3" xfId="23293" xr:uid="{F33953BA-3511-4FCE-8DE0-79C270EC23B5}"/>
    <cellStyle name="Normal 4 3 3 3 5 4" xfId="10635" xr:uid="{475E4E18-B174-473F-A64A-119CCB7B06DF}"/>
    <cellStyle name="Normal 4 3 3 3 5 5" xfId="19076" xr:uid="{1EB4BBF8-712B-40D2-A706-319E577EEB9D}"/>
    <cellStyle name="Normal 4 3 3 3 6" xfId="2533" xr:uid="{00000000-0005-0000-0000-000097140000}"/>
    <cellStyle name="Normal 4 3 3 3 6 2" xfId="6816" xr:uid="{00000000-0005-0000-0000-000098140000}"/>
    <cellStyle name="Normal 4 3 3 3 6 2 2" xfId="15266" xr:uid="{D5FD2651-04EE-4CB7-94C4-41210ED3A4DF}"/>
    <cellStyle name="Normal 4 3 3 3 6 2 3" xfId="23706" xr:uid="{45FE97F6-87CD-4F30-BFE0-70BA514B78FD}"/>
    <cellStyle name="Normal 4 3 3 3 6 3" xfId="11048" xr:uid="{F91C1570-9B00-4F1D-800C-83792A4889E1}"/>
    <cellStyle name="Normal 4 3 3 3 6 4" xfId="19489" xr:uid="{C8472AF9-29D1-49C2-A514-0DD18970F9EF}"/>
    <cellStyle name="Normal 4 3 3 3 7" xfId="4751" xr:uid="{00000000-0005-0000-0000-000099140000}"/>
    <cellStyle name="Normal 4 3 3 3 7 2" xfId="13201" xr:uid="{B9E7C001-E240-4A3C-B058-41304858F740}"/>
    <cellStyle name="Normal 4 3 3 3 7 3" xfId="21641" xr:uid="{B9165100-028B-499D-B40C-89FB4D7D5984}"/>
    <cellStyle name="Normal 4 3 3 3 8" xfId="8983" xr:uid="{4CBD5D0A-94B2-4D85-843F-6C959F888A6D}"/>
    <cellStyle name="Normal 4 3 3 3 9" xfId="17424" xr:uid="{8ED693A2-8617-4BCC-9EB5-692F875431CF}"/>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F5B6533E-74E2-4FA3-8F7B-71BEDBBD3473}"/>
    <cellStyle name="Normal 4 3 3 4 2 2 3" xfId="24196" xr:uid="{2314C266-B86C-4835-966B-1651C2091127}"/>
    <cellStyle name="Normal 4 3 3 4 2 3" xfId="11538" xr:uid="{D23C01AF-DFF6-4F40-8C1F-EB7FD0FB6574}"/>
    <cellStyle name="Normal 4 3 3 4 2 4" xfId="19979" xr:uid="{376D3AAF-B365-43EE-9BCD-64AC641667B3}"/>
    <cellStyle name="Normal 4 3 3 4 3" xfId="5161" xr:uid="{00000000-0005-0000-0000-00009D140000}"/>
    <cellStyle name="Normal 4 3 3 4 3 2" xfId="13611" xr:uid="{9CEA6736-78AD-4D18-A959-2301421E5930}"/>
    <cellStyle name="Normal 4 3 3 4 3 3" xfId="22051" xr:uid="{8B3EBAEE-B22C-4BCA-8865-AEF6ED5D8E7F}"/>
    <cellStyle name="Normal 4 3 3 4 4" xfId="9393" xr:uid="{AD93854C-B8E7-4F89-852A-8721A02DA5D3}"/>
    <cellStyle name="Normal 4 3 3 4 5" xfId="17834" xr:uid="{FCB385DC-6156-40AB-8BD1-C0FF9D44735E}"/>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168EF34E-281E-4E69-8EE9-1EE62822C786}"/>
    <cellStyle name="Normal 4 3 3 5 2 2 3" xfId="24609" xr:uid="{38E5997B-CDD2-4D5E-B01C-F526EB3979F4}"/>
    <cellStyle name="Normal 4 3 3 5 2 3" xfId="11951" xr:uid="{2D56F9A1-2AE0-4BDE-82F9-EB5D91ECBCCF}"/>
    <cellStyle name="Normal 4 3 3 5 2 4" xfId="20392" xr:uid="{84B4A312-1D94-4EFC-ADA1-A01BBDC99A2E}"/>
    <cellStyle name="Normal 4 3 3 5 3" xfId="5574" xr:uid="{00000000-0005-0000-0000-0000A1140000}"/>
    <cellStyle name="Normal 4 3 3 5 3 2" xfId="14024" xr:uid="{DA0A46FE-FD4E-4E21-951E-300DCF134134}"/>
    <cellStyle name="Normal 4 3 3 5 3 3" xfId="22464" xr:uid="{45F3E345-F943-4D02-8B1F-ED1783EC4843}"/>
    <cellStyle name="Normal 4 3 3 5 4" xfId="9806" xr:uid="{9D1A5A02-C446-4787-948A-9F9C232C5BCD}"/>
    <cellStyle name="Normal 4 3 3 5 5" xfId="18247" xr:uid="{14B3CCD7-9064-4BC8-BC31-55D4D3EC8C74}"/>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E931ABC3-B796-4180-B6F3-BC02D27510E6}"/>
    <cellStyle name="Normal 4 3 3 6 2 2 3" xfId="25022" xr:uid="{7EC9237B-D76F-4B37-8A5F-8F5595AAE15E}"/>
    <cellStyle name="Normal 4 3 3 6 2 3" xfId="12364" xr:uid="{BAC39193-7AC0-4704-9226-E27BBA2B8D62}"/>
    <cellStyle name="Normal 4 3 3 6 2 4" xfId="20805" xr:uid="{5BC56CC4-7D1A-4F28-A276-B08973DFB03D}"/>
    <cellStyle name="Normal 4 3 3 6 3" xfId="5987" xr:uid="{00000000-0005-0000-0000-0000A5140000}"/>
    <cellStyle name="Normal 4 3 3 6 3 2" xfId="14437" xr:uid="{958ED853-D97E-4833-B528-19FAABCBDE73}"/>
    <cellStyle name="Normal 4 3 3 6 3 3" xfId="22877" xr:uid="{99277D37-CA50-43B2-ABA2-4862CECCA514}"/>
    <cellStyle name="Normal 4 3 3 6 4" xfId="10219" xr:uid="{AF5D6B2D-719A-4F4C-B415-91205D7EE299}"/>
    <cellStyle name="Normal 4 3 3 6 5" xfId="18660" xr:uid="{5EAA7227-3FA2-4948-B595-0CC22D3C7B19}"/>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E6AA5956-8703-45A0-9DF6-CB4588DE9C57}"/>
    <cellStyle name="Normal 4 3 3 7 2 2 3" xfId="25435" xr:uid="{C3B8E28D-87A3-41A5-96F4-0D0BE1F5173C}"/>
    <cellStyle name="Normal 4 3 3 7 2 3" xfId="12777" xr:uid="{53AE34E0-B1E5-469D-AACD-3EE4BA103DF9}"/>
    <cellStyle name="Normal 4 3 3 7 2 4" xfId="21218" xr:uid="{52E470D0-7015-4FB8-86BF-D26ECB67BF7F}"/>
    <cellStyle name="Normal 4 3 3 7 3" xfId="6400" xr:uid="{00000000-0005-0000-0000-0000A9140000}"/>
    <cellStyle name="Normal 4 3 3 7 3 2" xfId="14850" xr:uid="{DBD7E1FE-D3A5-44FD-BCE1-0082650B0C38}"/>
    <cellStyle name="Normal 4 3 3 7 3 3" xfId="23290" xr:uid="{437DAD1E-7ED0-4AE8-84B2-3B7D75C74293}"/>
    <cellStyle name="Normal 4 3 3 7 4" xfId="10632" xr:uid="{2FF41EB3-C531-48CE-99A4-E1B337D92190}"/>
    <cellStyle name="Normal 4 3 3 7 5" xfId="19073" xr:uid="{FA5FF51D-8F86-4AB2-94EE-C2117C003188}"/>
    <cellStyle name="Normal 4 3 3 8" xfId="2530" xr:uid="{00000000-0005-0000-0000-0000AA140000}"/>
    <cellStyle name="Normal 4 3 3 8 2" xfId="6813" xr:uid="{00000000-0005-0000-0000-0000AB140000}"/>
    <cellStyle name="Normal 4 3 3 8 2 2" xfId="15263" xr:uid="{B2BED6FE-3CC3-4832-B813-09E0106EFF07}"/>
    <cellStyle name="Normal 4 3 3 8 2 3" xfId="23703" xr:uid="{63D6A767-7304-4C88-B6C8-916BA9E83AA3}"/>
    <cellStyle name="Normal 4 3 3 8 3" xfId="11045" xr:uid="{76A58724-BF74-4A7D-B641-6B700EC74F03}"/>
    <cellStyle name="Normal 4 3 3 8 4" xfId="19486" xr:uid="{6D3C57BB-ED28-4E69-9B61-B09CB6A8971F}"/>
    <cellStyle name="Normal 4 3 3 9" xfId="4748" xr:uid="{00000000-0005-0000-0000-0000AC140000}"/>
    <cellStyle name="Normal 4 3 3 9 2" xfId="13198" xr:uid="{18E8822E-7E96-4059-91D9-92E112E39F29}"/>
    <cellStyle name="Normal 4 3 3 9 3" xfId="21638" xr:uid="{D4146EA6-6870-417D-B7C0-65F7FA5F3AB6}"/>
    <cellStyle name="Normal 4 3 4" xfId="842" xr:uid="{00000000-0005-0000-0000-0000AD140000}"/>
    <cellStyle name="Normal 4 3 4 2" xfId="3079" xr:uid="{00000000-0005-0000-0000-0000AE140000}"/>
    <cellStyle name="Normal 4 3 4 2 2" xfId="7301" xr:uid="{00000000-0005-0000-0000-0000AF140000}"/>
    <cellStyle name="Normal 4 3 4 2 2 2" xfId="15751" xr:uid="{AFEE3D29-0C31-4140-8041-481C6784AD78}"/>
    <cellStyle name="Normal 4 3 4 2 2 3" xfId="24191" xr:uid="{8E1AF1B5-5199-4B16-A208-3856FC5F99AA}"/>
    <cellStyle name="Normal 4 3 4 2 3" xfId="11533" xr:uid="{D579C012-BBC0-424E-931E-BECD5E2FD6B1}"/>
    <cellStyle name="Normal 4 3 4 2 4" xfId="19974" xr:uid="{7B225362-55C6-494E-AEA0-F703B3390381}"/>
    <cellStyle name="Normal 4 3 4 3" xfId="5156" xr:uid="{00000000-0005-0000-0000-0000B0140000}"/>
    <cellStyle name="Normal 4 3 4 3 2" xfId="13606" xr:uid="{E2EEAE13-15A0-4055-B6BA-DE3BA5EC6708}"/>
    <cellStyle name="Normal 4 3 4 3 3" xfId="22046" xr:uid="{C30645EA-25CE-4618-A477-500CCCA8DA9D}"/>
    <cellStyle name="Normal 4 3 4 4" xfId="9388" xr:uid="{7BB153A1-3166-48F8-8CA0-224B13DEA435}"/>
    <cellStyle name="Normal 4 3 4 5" xfId="17829" xr:uid="{8BCE612F-D767-45A1-AA3C-B068C5070220}"/>
    <cellStyle name="Normal 4 3 5" xfId="1262" xr:uid="{00000000-0005-0000-0000-0000B1140000}"/>
    <cellStyle name="Normal 4 3 5 2" xfId="3492" xr:uid="{00000000-0005-0000-0000-0000B2140000}"/>
    <cellStyle name="Normal 4 3 5 2 2" xfId="7714" xr:uid="{00000000-0005-0000-0000-0000B3140000}"/>
    <cellStyle name="Normal 4 3 5 2 2 2" xfId="16164" xr:uid="{32445EA6-1C2B-4012-B67B-E6A4D78485F3}"/>
    <cellStyle name="Normal 4 3 5 2 2 3" xfId="24604" xr:uid="{024242A1-BE54-4F9A-B09E-105F41C9353C}"/>
    <cellStyle name="Normal 4 3 5 2 3" xfId="11946" xr:uid="{4752E88F-DBCC-4671-9935-1F1EA20435AC}"/>
    <cellStyle name="Normal 4 3 5 2 4" xfId="20387" xr:uid="{E16762CD-3FED-421C-9DD5-10D17EE1AAC5}"/>
    <cellStyle name="Normal 4 3 5 3" xfId="5569" xr:uid="{00000000-0005-0000-0000-0000B4140000}"/>
    <cellStyle name="Normal 4 3 5 3 2" xfId="14019" xr:uid="{217FA378-7C5B-447C-808F-4A4458C0F8C3}"/>
    <cellStyle name="Normal 4 3 5 3 3" xfId="22459" xr:uid="{10D72A9A-C202-48A3-9A87-C5F14F777B5D}"/>
    <cellStyle name="Normal 4 3 5 4" xfId="9801" xr:uid="{ED8833C3-C0A7-444A-B8CF-1D76B108A2FE}"/>
    <cellStyle name="Normal 4 3 5 5" xfId="18242" xr:uid="{EE8915A1-1FC6-4EA2-81C9-53F4E8143126}"/>
    <cellStyle name="Normal 4 3 6" xfId="1675" xr:uid="{00000000-0005-0000-0000-0000B5140000}"/>
    <cellStyle name="Normal 4 3 6 2" xfId="3905" xr:uid="{00000000-0005-0000-0000-0000B6140000}"/>
    <cellStyle name="Normal 4 3 6 2 2" xfId="8127" xr:uid="{00000000-0005-0000-0000-0000B7140000}"/>
    <cellStyle name="Normal 4 3 6 2 2 2" xfId="16577" xr:uid="{34E1E5CF-D2E5-476C-A59A-B1D62F5D85C4}"/>
    <cellStyle name="Normal 4 3 6 2 2 3" xfId="25017" xr:uid="{E3105CA6-8FE0-4F67-B4B6-06023872F70F}"/>
    <cellStyle name="Normal 4 3 6 2 3" xfId="12359" xr:uid="{F844AE97-00FD-4439-8594-F6443EED3627}"/>
    <cellStyle name="Normal 4 3 6 2 4" xfId="20800" xr:uid="{A181DE45-401D-46CB-930F-B3FB98819263}"/>
    <cellStyle name="Normal 4 3 6 3" xfId="5982" xr:uid="{00000000-0005-0000-0000-0000B8140000}"/>
    <cellStyle name="Normal 4 3 6 3 2" xfId="14432" xr:uid="{6C2893EA-58D0-4615-A9B0-655775A2CA78}"/>
    <cellStyle name="Normal 4 3 6 3 3" xfId="22872" xr:uid="{46C1787D-8E88-4458-9736-9394AFBEFC39}"/>
    <cellStyle name="Normal 4 3 6 4" xfId="10214" xr:uid="{0BB63467-3D91-4025-A0EB-0A29D99B1805}"/>
    <cellStyle name="Normal 4 3 6 5" xfId="18655" xr:uid="{9BF8DB20-8A4B-4DD0-90AE-A0665D931AA3}"/>
    <cellStyle name="Normal 4 3 7" xfId="2089" xr:uid="{00000000-0005-0000-0000-0000B9140000}"/>
    <cellStyle name="Normal 4 3 7 2" xfId="4318" xr:uid="{00000000-0005-0000-0000-0000BA140000}"/>
    <cellStyle name="Normal 4 3 7 2 2" xfId="8540" xr:uid="{00000000-0005-0000-0000-0000BB140000}"/>
    <cellStyle name="Normal 4 3 7 2 2 2" xfId="16990" xr:uid="{88BD786F-8E96-4EA4-843E-AB461D0B2033}"/>
    <cellStyle name="Normal 4 3 7 2 2 3" xfId="25430" xr:uid="{048B3FC9-26DE-4CDA-8E48-41D6F65CE377}"/>
    <cellStyle name="Normal 4 3 7 2 3" xfId="12772" xr:uid="{23F80F99-AE42-433F-AA63-E8D38FFE1F98}"/>
    <cellStyle name="Normal 4 3 7 2 4" xfId="21213" xr:uid="{1E481AEE-821D-45A4-A70B-F5527550F00E}"/>
    <cellStyle name="Normal 4 3 7 3" xfId="6395" xr:uid="{00000000-0005-0000-0000-0000BC140000}"/>
    <cellStyle name="Normal 4 3 7 3 2" xfId="14845" xr:uid="{BA43804A-40CF-48B8-90EC-4F220B34A68D}"/>
    <cellStyle name="Normal 4 3 7 3 3" xfId="23285" xr:uid="{F01322ED-CA59-4EE3-8B6D-8200558A1083}"/>
    <cellStyle name="Normal 4 3 7 4" xfId="10627" xr:uid="{3E88D8AD-AB74-413C-ABFE-3709DC939F7A}"/>
    <cellStyle name="Normal 4 3 7 5" xfId="19068" xr:uid="{670D6D38-3B08-443A-BCEC-DF5249038283}"/>
    <cellStyle name="Normal 4 3 8" xfId="2525" xr:uid="{00000000-0005-0000-0000-0000BD140000}"/>
    <cellStyle name="Normal 4 3 8 2" xfId="6808" xr:uid="{00000000-0005-0000-0000-0000BE140000}"/>
    <cellStyle name="Normal 4 3 8 2 2" xfId="15258" xr:uid="{520C7822-565B-4886-969F-28934258FB00}"/>
    <cellStyle name="Normal 4 3 8 2 3" xfId="23698" xr:uid="{BE6F9148-5356-41F8-B0C3-58DDF5025097}"/>
    <cellStyle name="Normal 4 3 8 3" xfId="11040" xr:uid="{F01DCE45-B0E6-48D6-8C96-54FD1EB5E805}"/>
    <cellStyle name="Normal 4 3 8 4" xfId="19481" xr:uid="{FAB63400-74CF-4A4E-B293-9395B1489CE6}"/>
    <cellStyle name="Normal 4 3 9" xfId="4743" xr:uid="{00000000-0005-0000-0000-0000BF140000}"/>
    <cellStyle name="Normal 4 3 9 2" xfId="13193" xr:uid="{80319DA5-EECA-4310-BA78-36D8E5736209}"/>
    <cellStyle name="Normal 4 3 9 3" xfId="21633" xr:uid="{A12EA1DF-2B91-40F7-8654-21DE8BE1CBCF}"/>
    <cellStyle name="Normal 4 4" xfId="378" xr:uid="{00000000-0005-0000-0000-0000C0140000}"/>
    <cellStyle name="Normal 4 4 10" xfId="2534" xr:uid="{00000000-0005-0000-0000-0000C1140000}"/>
    <cellStyle name="Normal 4 4 10 2" xfId="6817" xr:uid="{00000000-0005-0000-0000-0000C2140000}"/>
    <cellStyle name="Normal 4 4 10 2 2" xfId="15267" xr:uid="{F9D01844-9A85-43C8-8B3C-D85604DB6283}"/>
    <cellStyle name="Normal 4 4 10 2 3" xfId="23707" xr:uid="{C751E61D-5BFC-445F-B273-3993C0B0948F}"/>
    <cellStyle name="Normal 4 4 10 3" xfId="11049" xr:uid="{03A333EA-22D4-4F1C-BD08-0355B6B27684}"/>
    <cellStyle name="Normal 4 4 10 4" xfId="19490" xr:uid="{5AD7EB74-7818-41DB-9531-1166FE42418F}"/>
    <cellStyle name="Normal 4 4 11" xfId="4752" xr:uid="{00000000-0005-0000-0000-0000C3140000}"/>
    <cellStyle name="Normal 4 4 11 2" xfId="13202" xr:uid="{ECBAB8AE-5A98-43DB-9E8A-66747FD25540}"/>
    <cellStyle name="Normal 4 4 11 3" xfId="21642" xr:uid="{B6B0C392-D85D-4116-9525-A1655AC21EB1}"/>
    <cellStyle name="Normal 4 4 12" xfId="8984" xr:uid="{3B5A1375-B111-447B-8390-C4310D6F9D3F}"/>
    <cellStyle name="Normal 4 4 13" xfId="17425" xr:uid="{B2652896-1691-469F-BF6D-BE0B4B10969D}"/>
    <cellStyle name="Normal 4 4 2" xfId="379" xr:uid="{00000000-0005-0000-0000-0000C4140000}"/>
    <cellStyle name="Normal 4 4 2 10" xfId="4753" xr:uid="{00000000-0005-0000-0000-0000C5140000}"/>
    <cellStyle name="Normal 4 4 2 10 2" xfId="13203" xr:uid="{E8783E84-2E66-4BD4-B0A6-51B13C8C8863}"/>
    <cellStyle name="Normal 4 4 2 10 3" xfId="21643" xr:uid="{B5356465-5E37-44DA-8BC3-E7BF77819ECD}"/>
    <cellStyle name="Normal 4 4 2 11" xfId="8985" xr:uid="{8140D027-95EA-4C9D-8101-A2C730153817}"/>
    <cellStyle name="Normal 4 4 2 12" xfId="17426" xr:uid="{277307C3-A57C-40A4-BD42-62B79E094F47}"/>
    <cellStyle name="Normal 4 4 2 2" xfId="380" xr:uid="{00000000-0005-0000-0000-0000C6140000}"/>
    <cellStyle name="Normal 4 4 2 2 10" xfId="8986" xr:uid="{035CE8F5-88CF-468D-BD42-2D75F448422C}"/>
    <cellStyle name="Normal 4 4 2 2 11" xfId="17427" xr:uid="{BAA18147-BEE2-4B8D-BDA4-191B51D733D7}"/>
    <cellStyle name="Normal 4 4 2 2 2" xfId="381" xr:uid="{00000000-0005-0000-0000-0000C7140000}"/>
    <cellStyle name="Normal 4 4 2 2 2 10" xfId="17428" xr:uid="{F9E3F6BF-F1F4-4F42-AE19-6F1E1D988735}"/>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6ECDFF1D-AFD2-4F31-ACC4-31321714EA64}"/>
    <cellStyle name="Normal 4 4 2 2 2 2 2 2 2 3" xfId="24204" xr:uid="{D1E881AB-2C7A-4B70-8B9B-CCC9E5462D33}"/>
    <cellStyle name="Normal 4 4 2 2 2 2 2 2 3" xfId="11546" xr:uid="{04584CF7-5FDF-4004-A2F8-483EB825F424}"/>
    <cellStyle name="Normal 4 4 2 2 2 2 2 2 4" xfId="19987" xr:uid="{4BB78C5D-06BB-46C3-9F2F-3A94ABF9D863}"/>
    <cellStyle name="Normal 4 4 2 2 2 2 2 3" xfId="5169" xr:uid="{00000000-0005-0000-0000-0000CC140000}"/>
    <cellStyle name="Normal 4 4 2 2 2 2 2 3 2" xfId="13619" xr:uid="{851E39C9-9B07-4901-96C2-EFB4DC377B1C}"/>
    <cellStyle name="Normal 4 4 2 2 2 2 2 3 3" xfId="22059" xr:uid="{4C183025-6460-42FC-B387-8AE984E22F6C}"/>
    <cellStyle name="Normal 4 4 2 2 2 2 2 4" xfId="9401" xr:uid="{7E850C9E-E88F-4353-AE48-38E6E5A0AFD6}"/>
    <cellStyle name="Normal 4 4 2 2 2 2 2 5" xfId="17842" xr:uid="{BD9749C6-8A42-4768-88DB-CC595B2BF58C}"/>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0A50C9FC-2C2D-4D4F-AB0D-090085593783}"/>
    <cellStyle name="Normal 4 4 2 2 2 2 3 2 2 3" xfId="24617" xr:uid="{4CE834E6-61E2-49C5-BB37-6CDD65014559}"/>
    <cellStyle name="Normal 4 4 2 2 2 2 3 2 3" xfId="11959" xr:uid="{0FD45E1C-1BAB-48E2-BF9E-69439EF0C40A}"/>
    <cellStyle name="Normal 4 4 2 2 2 2 3 2 4" xfId="20400" xr:uid="{4B6A3000-A85D-411F-8DE7-99580E6199BC}"/>
    <cellStyle name="Normal 4 4 2 2 2 2 3 3" xfId="5582" xr:uid="{00000000-0005-0000-0000-0000D0140000}"/>
    <cellStyle name="Normal 4 4 2 2 2 2 3 3 2" xfId="14032" xr:uid="{A7870CAD-3FB1-400C-91A4-9B78DE6FF6FB}"/>
    <cellStyle name="Normal 4 4 2 2 2 2 3 3 3" xfId="22472" xr:uid="{9E41B1E9-3413-4605-A481-A9730745E412}"/>
    <cellStyle name="Normal 4 4 2 2 2 2 3 4" xfId="9814" xr:uid="{FB563726-27B0-47D7-966A-176E6829B1C7}"/>
    <cellStyle name="Normal 4 4 2 2 2 2 3 5" xfId="18255" xr:uid="{15B02C82-180E-4B11-BA77-12198C8B3EA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2B0DCF91-2B47-4504-8321-8BEBCE7D0274}"/>
    <cellStyle name="Normal 4 4 2 2 2 2 4 2 2 3" xfId="25030" xr:uid="{1DE9F0FC-343C-432A-ACB7-70E6557FF9DD}"/>
    <cellStyle name="Normal 4 4 2 2 2 2 4 2 3" xfId="12372" xr:uid="{D58927C5-696E-4490-9387-6E82BEDF1A18}"/>
    <cellStyle name="Normal 4 4 2 2 2 2 4 2 4" xfId="20813" xr:uid="{17B90C47-5E11-4C04-A258-01CBF943900F}"/>
    <cellStyle name="Normal 4 4 2 2 2 2 4 3" xfId="5995" xr:uid="{00000000-0005-0000-0000-0000D4140000}"/>
    <cellStyle name="Normal 4 4 2 2 2 2 4 3 2" xfId="14445" xr:uid="{D53B22D2-3E87-4A40-802F-E096720CE859}"/>
    <cellStyle name="Normal 4 4 2 2 2 2 4 3 3" xfId="22885" xr:uid="{7A533F08-B0A4-4CD8-A7A8-659DFFBDD928}"/>
    <cellStyle name="Normal 4 4 2 2 2 2 4 4" xfId="10227" xr:uid="{8738153C-3E3A-4D54-A2E2-0D3A9F487AFD}"/>
    <cellStyle name="Normal 4 4 2 2 2 2 4 5" xfId="18668" xr:uid="{72B589CC-EF79-4AC7-AD3C-6E64D06E2FA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38B4A951-B676-42D9-89D9-3146FEF78F64}"/>
    <cellStyle name="Normal 4 4 2 2 2 2 5 2 2 3" xfId="25443" xr:uid="{314CD348-9227-4122-9B83-471EE3EDB727}"/>
    <cellStyle name="Normal 4 4 2 2 2 2 5 2 3" xfId="12785" xr:uid="{64512759-5D2E-4E59-9DC0-A520CF709193}"/>
    <cellStyle name="Normal 4 4 2 2 2 2 5 2 4" xfId="21226" xr:uid="{CA711B4F-2CDD-415F-9779-91AD08CC3BE7}"/>
    <cellStyle name="Normal 4 4 2 2 2 2 5 3" xfId="6408" xr:uid="{00000000-0005-0000-0000-0000D8140000}"/>
    <cellStyle name="Normal 4 4 2 2 2 2 5 3 2" xfId="14858" xr:uid="{506AF7AA-4F21-4D19-8FAA-4DA8E47BB22F}"/>
    <cellStyle name="Normal 4 4 2 2 2 2 5 3 3" xfId="23298" xr:uid="{DDEC4AE4-EFC2-4D7F-B56C-2204E0304190}"/>
    <cellStyle name="Normal 4 4 2 2 2 2 5 4" xfId="10640" xr:uid="{EFA0B3ED-08EE-410B-92B1-B73514047240}"/>
    <cellStyle name="Normal 4 4 2 2 2 2 5 5" xfId="19081" xr:uid="{49DA6690-BC2E-4E5E-B62F-4A379B3BD109}"/>
    <cellStyle name="Normal 4 4 2 2 2 2 6" xfId="2538" xr:uid="{00000000-0005-0000-0000-0000D9140000}"/>
    <cellStyle name="Normal 4 4 2 2 2 2 6 2" xfId="6821" xr:uid="{00000000-0005-0000-0000-0000DA140000}"/>
    <cellStyle name="Normal 4 4 2 2 2 2 6 2 2" xfId="15271" xr:uid="{8BE492B2-07D5-4975-893F-A8F702E5EF19}"/>
    <cellStyle name="Normal 4 4 2 2 2 2 6 2 3" xfId="23711" xr:uid="{4C5DBEB7-C2DF-4DE5-9C43-57A1FA178D16}"/>
    <cellStyle name="Normal 4 4 2 2 2 2 6 3" xfId="11053" xr:uid="{6551983C-2B4C-409A-8E1A-6958F735841F}"/>
    <cellStyle name="Normal 4 4 2 2 2 2 6 4" xfId="19494" xr:uid="{8ACD86AD-5430-4F63-AA45-A26F56698340}"/>
    <cellStyle name="Normal 4 4 2 2 2 2 7" xfId="4756" xr:uid="{00000000-0005-0000-0000-0000DB140000}"/>
    <cellStyle name="Normal 4 4 2 2 2 2 7 2" xfId="13206" xr:uid="{83F0F5FD-5522-4EF1-ABD5-F1B996DD3A29}"/>
    <cellStyle name="Normal 4 4 2 2 2 2 7 3" xfId="21646" xr:uid="{0E6F4870-05AE-47B9-9EC3-361A6DB0739A}"/>
    <cellStyle name="Normal 4 4 2 2 2 2 8" xfId="8988" xr:uid="{13E6D910-243B-43C7-8CB5-F01229B2A412}"/>
    <cellStyle name="Normal 4 4 2 2 2 2 9" xfId="17429" xr:uid="{93C3A7E7-119D-4C18-A6D4-288322B3D27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DA24915A-1250-4ACE-BE32-73E7274C81FE}"/>
    <cellStyle name="Normal 4 4 2 2 2 3 2 2 3" xfId="24203" xr:uid="{1846DB93-F43C-4085-BE80-85A39B60B300}"/>
    <cellStyle name="Normal 4 4 2 2 2 3 2 3" xfId="11545" xr:uid="{AD0C67E4-7470-4628-A71C-1E5FE547AB91}"/>
    <cellStyle name="Normal 4 4 2 2 2 3 2 4" xfId="19986" xr:uid="{CF2CFD54-20CE-4DA3-968C-D16E4A08C59F}"/>
    <cellStyle name="Normal 4 4 2 2 2 3 3" xfId="5168" xr:uid="{00000000-0005-0000-0000-0000DF140000}"/>
    <cellStyle name="Normal 4 4 2 2 2 3 3 2" xfId="13618" xr:uid="{3F6622BC-5B59-48D8-8C97-D46D39E12DCB}"/>
    <cellStyle name="Normal 4 4 2 2 2 3 3 3" xfId="22058" xr:uid="{BF057BA7-E7CD-4AF4-8FB8-F8DD2DDBE901}"/>
    <cellStyle name="Normal 4 4 2 2 2 3 4" xfId="9400" xr:uid="{F7865D97-6F69-448D-AB25-E6A9D74874B2}"/>
    <cellStyle name="Normal 4 4 2 2 2 3 5" xfId="17841" xr:uid="{A5257879-A33E-4DB1-ABE0-C119D13408D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C21AE000-E27A-4F63-939D-79F848F8F4E6}"/>
    <cellStyle name="Normal 4 4 2 2 2 4 2 2 3" xfId="24616" xr:uid="{584EF043-9035-4745-996C-387FF7C00E6A}"/>
    <cellStyle name="Normal 4 4 2 2 2 4 2 3" xfId="11958" xr:uid="{AC8C5F14-2AD0-4573-A79A-90D143441235}"/>
    <cellStyle name="Normal 4 4 2 2 2 4 2 4" xfId="20399" xr:uid="{CAE553CE-07A8-475D-BF2E-621D980396B8}"/>
    <cellStyle name="Normal 4 4 2 2 2 4 3" xfId="5581" xr:uid="{00000000-0005-0000-0000-0000E3140000}"/>
    <cellStyle name="Normal 4 4 2 2 2 4 3 2" xfId="14031" xr:uid="{FD977B44-F321-4E40-B9BA-334ACB5A6BFD}"/>
    <cellStyle name="Normal 4 4 2 2 2 4 3 3" xfId="22471" xr:uid="{63229B25-727B-41E8-9EEC-AEE6699F96C8}"/>
    <cellStyle name="Normal 4 4 2 2 2 4 4" xfId="9813" xr:uid="{DC9BE1FD-D0CB-4E78-84E9-95C4B47E3173}"/>
    <cellStyle name="Normal 4 4 2 2 2 4 5" xfId="18254" xr:uid="{A8D231E7-FB05-4644-99BA-CCFEA0261EE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49247380-B3C6-4462-8224-AFA5039BA78B}"/>
    <cellStyle name="Normal 4 4 2 2 2 5 2 2 3" xfId="25029" xr:uid="{D077921E-3B19-4269-A8F0-AC01D306714A}"/>
    <cellStyle name="Normal 4 4 2 2 2 5 2 3" xfId="12371" xr:uid="{A67A90F9-2877-467C-B136-22A2A8C658C8}"/>
    <cellStyle name="Normal 4 4 2 2 2 5 2 4" xfId="20812" xr:uid="{CC142A37-3001-4250-BCFB-471A0B3CD157}"/>
    <cellStyle name="Normal 4 4 2 2 2 5 3" xfId="5994" xr:uid="{00000000-0005-0000-0000-0000E7140000}"/>
    <cellStyle name="Normal 4 4 2 2 2 5 3 2" xfId="14444" xr:uid="{A8A4A4A5-60F0-45B6-874B-1B62ABE2CE21}"/>
    <cellStyle name="Normal 4 4 2 2 2 5 3 3" xfId="22884" xr:uid="{60EC49F0-B4A7-48EE-8C3A-B896D58683D8}"/>
    <cellStyle name="Normal 4 4 2 2 2 5 4" xfId="10226" xr:uid="{BDAC8947-AEF3-4B3D-BC81-A9B718097ABB}"/>
    <cellStyle name="Normal 4 4 2 2 2 5 5" xfId="18667" xr:uid="{AC3A6171-C928-40A1-8DA9-1B42A8AE3E68}"/>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E5DCE1CF-F0A3-452B-B8C1-85708F5A9FA5}"/>
    <cellStyle name="Normal 4 4 2 2 2 6 2 2 3" xfId="25442" xr:uid="{689143ED-7688-494E-A6B4-9E030135F80A}"/>
    <cellStyle name="Normal 4 4 2 2 2 6 2 3" xfId="12784" xr:uid="{68A040CF-1D56-4A70-B0CE-53D4CF311AF6}"/>
    <cellStyle name="Normal 4 4 2 2 2 6 2 4" xfId="21225" xr:uid="{4A067E2E-A308-43B5-9B66-19B1A57A662F}"/>
    <cellStyle name="Normal 4 4 2 2 2 6 3" xfId="6407" xr:uid="{00000000-0005-0000-0000-0000EB140000}"/>
    <cellStyle name="Normal 4 4 2 2 2 6 3 2" xfId="14857" xr:uid="{1ADB9A6F-65C3-4549-BAAE-01C84CE1636D}"/>
    <cellStyle name="Normal 4 4 2 2 2 6 3 3" xfId="23297" xr:uid="{E964FF20-8D2D-4117-9965-A7963ECF3E87}"/>
    <cellStyle name="Normal 4 4 2 2 2 6 4" xfId="10639" xr:uid="{FD747353-4D3C-4A4C-BAC5-310FD3FF1FC0}"/>
    <cellStyle name="Normal 4 4 2 2 2 6 5" xfId="19080" xr:uid="{9356F930-6721-4D0A-9846-4FA5CCDA13CA}"/>
    <cellStyle name="Normal 4 4 2 2 2 7" xfId="2537" xr:uid="{00000000-0005-0000-0000-0000EC140000}"/>
    <cellStyle name="Normal 4 4 2 2 2 7 2" xfId="6820" xr:uid="{00000000-0005-0000-0000-0000ED140000}"/>
    <cellStyle name="Normal 4 4 2 2 2 7 2 2" xfId="15270" xr:uid="{532645BC-B5B5-46E8-B783-B8731EADEB65}"/>
    <cellStyle name="Normal 4 4 2 2 2 7 2 3" xfId="23710" xr:uid="{C166F58A-AACB-40B5-A0E1-964AF3877E91}"/>
    <cellStyle name="Normal 4 4 2 2 2 7 3" xfId="11052" xr:uid="{1ABC6A57-2476-41C3-BCAC-C0B3F17F140B}"/>
    <cellStyle name="Normal 4 4 2 2 2 7 4" xfId="19493" xr:uid="{0F12D799-9AC1-4899-9A9B-8970B7392BBB}"/>
    <cellStyle name="Normal 4 4 2 2 2 8" xfId="4755" xr:uid="{00000000-0005-0000-0000-0000EE140000}"/>
    <cellStyle name="Normal 4 4 2 2 2 8 2" xfId="13205" xr:uid="{72CC23C0-A197-4F32-8C57-0325F433E4DB}"/>
    <cellStyle name="Normal 4 4 2 2 2 8 3" xfId="21645" xr:uid="{4E429C24-4093-4BAA-8B7C-E1C371339378}"/>
    <cellStyle name="Normal 4 4 2 2 2 9" xfId="8987" xr:uid="{6BBD4918-A827-4A5C-A4E3-6178D5D0004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91360371-54DE-4BE9-A296-346AB4B2AA79}"/>
    <cellStyle name="Normal 4 4 2 2 3 2 2 2 3" xfId="24205" xr:uid="{1A8F4402-D7F2-469F-B434-28A48220EE79}"/>
    <cellStyle name="Normal 4 4 2 2 3 2 2 3" xfId="11547" xr:uid="{0EE0F714-2793-4345-8CFC-DC3F604C69F4}"/>
    <cellStyle name="Normal 4 4 2 2 3 2 2 4" xfId="19988" xr:uid="{2434C49C-0E9A-4716-8A5E-2E1EEF4EBC1F}"/>
    <cellStyle name="Normal 4 4 2 2 3 2 3" xfId="5170" xr:uid="{00000000-0005-0000-0000-0000F3140000}"/>
    <cellStyle name="Normal 4 4 2 2 3 2 3 2" xfId="13620" xr:uid="{801E7614-43BF-42C3-BDD5-293220B9FCAA}"/>
    <cellStyle name="Normal 4 4 2 2 3 2 3 3" xfId="22060" xr:uid="{1BFD239F-CD4A-4378-B2DB-39CB4C50C146}"/>
    <cellStyle name="Normal 4 4 2 2 3 2 4" xfId="9402" xr:uid="{E269BF0B-1426-4EAF-89B4-4239F1BDE76F}"/>
    <cellStyle name="Normal 4 4 2 2 3 2 5" xfId="17843" xr:uid="{727D193B-278B-4636-AE69-19B38B909E22}"/>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F322B9BA-9F64-4AF0-8AB3-0FE5C857E4B0}"/>
    <cellStyle name="Normal 4 4 2 2 3 3 2 2 3" xfId="24618" xr:uid="{36DADB0C-A9F9-4A04-BF5C-446E702C07F1}"/>
    <cellStyle name="Normal 4 4 2 2 3 3 2 3" xfId="11960" xr:uid="{26A5A960-1AB1-48B1-8117-69FE54FECC1F}"/>
    <cellStyle name="Normal 4 4 2 2 3 3 2 4" xfId="20401" xr:uid="{E81902AA-B8E1-41D6-BC80-0E85724FCFCF}"/>
    <cellStyle name="Normal 4 4 2 2 3 3 3" xfId="5583" xr:uid="{00000000-0005-0000-0000-0000F7140000}"/>
    <cellStyle name="Normal 4 4 2 2 3 3 3 2" xfId="14033" xr:uid="{8644FAB6-C9A5-43C4-AB14-D3FEB3A62429}"/>
    <cellStyle name="Normal 4 4 2 2 3 3 3 3" xfId="22473" xr:uid="{FC2A7D46-079E-425A-95E3-ADFA2971C8BC}"/>
    <cellStyle name="Normal 4 4 2 2 3 3 4" xfId="9815" xr:uid="{337B93C9-714B-4E9C-90AD-8A4BD6FAA1B0}"/>
    <cellStyle name="Normal 4 4 2 2 3 3 5" xfId="18256" xr:uid="{E65EDA2C-A402-4679-AFC8-EA95BA22C51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7C9D031E-40C9-4B04-8FCF-161DA4399A4A}"/>
    <cellStyle name="Normal 4 4 2 2 3 4 2 2 3" xfId="25031" xr:uid="{7A039E5F-7CDC-4585-B29C-E7E2DC5072FE}"/>
    <cellStyle name="Normal 4 4 2 2 3 4 2 3" xfId="12373" xr:uid="{F1FAEE09-E5D7-4AEF-A3D7-16D805BDDD1A}"/>
    <cellStyle name="Normal 4 4 2 2 3 4 2 4" xfId="20814" xr:uid="{672BFD22-F364-4273-AF78-8FB7AC84059C}"/>
    <cellStyle name="Normal 4 4 2 2 3 4 3" xfId="5996" xr:uid="{00000000-0005-0000-0000-0000FB140000}"/>
    <cellStyle name="Normal 4 4 2 2 3 4 3 2" xfId="14446" xr:uid="{9102A6DB-B455-4BD8-91CF-E5C7F2769E2A}"/>
    <cellStyle name="Normal 4 4 2 2 3 4 3 3" xfId="22886" xr:uid="{533A845A-6618-4967-9F2E-7553FBDFAE5B}"/>
    <cellStyle name="Normal 4 4 2 2 3 4 4" xfId="10228" xr:uid="{AA7BCF5D-C3FC-44E0-9146-9A5712228D89}"/>
    <cellStyle name="Normal 4 4 2 2 3 4 5" xfId="18669" xr:uid="{303CFBFE-8669-464D-A90C-32B3A396F6F2}"/>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728003EC-C4DF-4E09-BC24-A8BEB927CE3D}"/>
    <cellStyle name="Normal 4 4 2 2 3 5 2 2 3" xfId="25444" xr:uid="{7F0E2854-E18E-40BA-81E2-83CD0DFE531E}"/>
    <cellStyle name="Normal 4 4 2 2 3 5 2 3" xfId="12786" xr:uid="{D48799D4-69F1-4B8B-8541-387E52828FA8}"/>
    <cellStyle name="Normal 4 4 2 2 3 5 2 4" xfId="21227" xr:uid="{720D42AB-C47F-458D-935F-98A02F970E33}"/>
    <cellStyle name="Normal 4 4 2 2 3 5 3" xfId="6409" xr:uid="{00000000-0005-0000-0000-0000FF140000}"/>
    <cellStyle name="Normal 4 4 2 2 3 5 3 2" xfId="14859" xr:uid="{4F449DB4-DEDA-4CCC-9C97-318D448A54FE}"/>
    <cellStyle name="Normal 4 4 2 2 3 5 3 3" xfId="23299" xr:uid="{3873DA97-68DC-4CE1-8FF4-EEC27CB18B55}"/>
    <cellStyle name="Normal 4 4 2 2 3 5 4" xfId="10641" xr:uid="{95F14471-52F4-4591-9D09-84A5C564EE78}"/>
    <cellStyle name="Normal 4 4 2 2 3 5 5" xfId="19082" xr:uid="{3F4AF191-1331-4C89-8964-72A9059F83A8}"/>
    <cellStyle name="Normal 4 4 2 2 3 6" xfId="2539" xr:uid="{00000000-0005-0000-0000-000000150000}"/>
    <cellStyle name="Normal 4 4 2 2 3 6 2" xfId="6822" xr:uid="{00000000-0005-0000-0000-000001150000}"/>
    <cellStyle name="Normal 4 4 2 2 3 6 2 2" xfId="15272" xr:uid="{D770F588-6740-4D75-95B9-644292549ACB}"/>
    <cellStyle name="Normal 4 4 2 2 3 6 2 3" xfId="23712" xr:uid="{6F691BC8-3361-4B42-9204-7468C298D855}"/>
    <cellStyle name="Normal 4 4 2 2 3 6 3" xfId="11054" xr:uid="{333712E3-83DB-4503-94A1-DC8A1E8B781F}"/>
    <cellStyle name="Normal 4 4 2 2 3 6 4" xfId="19495" xr:uid="{5A7FD8CF-8D1E-4183-9561-964C292E6118}"/>
    <cellStyle name="Normal 4 4 2 2 3 7" xfId="4757" xr:uid="{00000000-0005-0000-0000-000002150000}"/>
    <cellStyle name="Normal 4 4 2 2 3 7 2" xfId="13207" xr:uid="{82F53E08-AA33-4E41-A31C-453E7170A23B}"/>
    <cellStyle name="Normal 4 4 2 2 3 7 3" xfId="21647" xr:uid="{7B007C0E-6D76-4599-96CF-52539CD222E4}"/>
    <cellStyle name="Normal 4 4 2 2 3 8" xfId="8989" xr:uid="{34B1AD8C-3503-401A-9700-65AD0BF1ED37}"/>
    <cellStyle name="Normal 4 4 2 2 3 9" xfId="17430" xr:uid="{D89369A8-43D0-49FF-BB64-4923E6BE762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2DAE376B-9624-494C-8D60-D21ABA896A00}"/>
    <cellStyle name="Normal 4 4 2 2 4 2 2 3" xfId="24202" xr:uid="{5459E558-2AF3-4D13-8544-69FBFF60D228}"/>
    <cellStyle name="Normal 4 4 2 2 4 2 3" xfId="11544" xr:uid="{6582D291-F935-46F7-A891-22C7DB8B9E9B}"/>
    <cellStyle name="Normal 4 4 2 2 4 2 4" xfId="19985" xr:uid="{23933856-2BE3-4AB2-9BEA-BF531671074A}"/>
    <cellStyle name="Normal 4 4 2 2 4 3" xfId="5167" xr:uid="{00000000-0005-0000-0000-000006150000}"/>
    <cellStyle name="Normal 4 4 2 2 4 3 2" xfId="13617" xr:uid="{E3B03409-B5D8-4255-999F-45D64E237B47}"/>
    <cellStyle name="Normal 4 4 2 2 4 3 3" xfId="22057" xr:uid="{B08D3ABD-054B-44A2-A497-36885ED8C288}"/>
    <cellStyle name="Normal 4 4 2 2 4 4" xfId="9399" xr:uid="{E456C278-E8A0-4E56-A7B3-3396A48C400C}"/>
    <cellStyle name="Normal 4 4 2 2 4 5" xfId="17840" xr:uid="{CC5EC24C-8D9B-4865-B5DB-596CE95D2328}"/>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65D3F168-43C2-43EF-8FF0-2B6B95853880}"/>
    <cellStyle name="Normal 4 4 2 2 5 2 2 3" xfId="24615" xr:uid="{FEE6D084-CE49-4CED-B60B-F8D6B8E0DD43}"/>
    <cellStyle name="Normal 4 4 2 2 5 2 3" xfId="11957" xr:uid="{6F2C03C9-11C0-437C-825C-C06667461A9A}"/>
    <cellStyle name="Normal 4 4 2 2 5 2 4" xfId="20398" xr:uid="{343A4BA7-D365-49AD-9ED1-05CD8EF20E38}"/>
    <cellStyle name="Normal 4 4 2 2 5 3" xfId="5580" xr:uid="{00000000-0005-0000-0000-00000A150000}"/>
    <cellStyle name="Normal 4 4 2 2 5 3 2" xfId="14030" xr:uid="{EE0A8752-4268-4F53-B091-8F4005FCE80B}"/>
    <cellStyle name="Normal 4 4 2 2 5 3 3" xfId="22470" xr:uid="{27B8BB82-D9D4-4830-A48A-0B07FB1D5773}"/>
    <cellStyle name="Normal 4 4 2 2 5 4" xfId="9812" xr:uid="{2219B60E-1948-4B1D-9306-05D0AA969709}"/>
    <cellStyle name="Normal 4 4 2 2 5 5" xfId="18253" xr:uid="{1151910B-D4BE-41F2-B571-5DCCBED8E6C6}"/>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DC33050D-EA4D-4695-947F-4827B37E175E}"/>
    <cellStyle name="Normal 4 4 2 2 6 2 2 3" xfId="25028" xr:uid="{E7B83DA8-F2AA-4043-A133-DF85CAC0496F}"/>
    <cellStyle name="Normal 4 4 2 2 6 2 3" xfId="12370" xr:uid="{EBF61841-1012-46FF-8697-0F1EA9356928}"/>
    <cellStyle name="Normal 4 4 2 2 6 2 4" xfId="20811" xr:uid="{F4692A5C-03EE-45C2-B24B-A7F52584834C}"/>
    <cellStyle name="Normal 4 4 2 2 6 3" xfId="5993" xr:uid="{00000000-0005-0000-0000-00000E150000}"/>
    <cellStyle name="Normal 4 4 2 2 6 3 2" xfId="14443" xr:uid="{B6E987A7-650A-4155-AD18-63B37E61E48F}"/>
    <cellStyle name="Normal 4 4 2 2 6 3 3" xfId="22883" xr:uid="{C4CEAE1A-D6D6-458C-8614-4CD9287A3BC4}"/>
    <cellStyle name="Normal 4 4 2 2 6 4" xfId="10225" xr:uid="{2B1167BA-AFF0-475F-BD4F-3FD240331A5A}"/>
    <cellStyle name="Normal 4 4 2 2 6 5" xfId="18666" xr:uid="{28DD4CF6-BD25-482D-BE5F-CE743377395B}"/>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367D632C-4B3F-40AD-B3F9-DA79C1644A87}"/>
    <cellStyle name="Normal 4 4 2 2 7 2 2 3" xfId="25441" xr:uid="{3EC7C3E2-09DF-41A7-B5FC-FC31295F8548}"/>
    <cellStyle name="Normal 4 4 2 2 7 2 3" xfId="12783" xr:uid="{952040FC-7101-4BEC-8FEF-DEEFCE303A19}"/>
    <cellStyle name="Normal 4 4 2 2 7 2 4" xfId="21224" xr:uid="{840D6803-D4A3-4E50-87EB-1D5B253EEE29}"/>
    <cellStyle name="Normal 4 4 2 2 7 3" xfId="6406" xr:uid="{00000000-0005-0000-0000-000012150000}"/>
    <cellStyle name="Normal 4 4 2 2 7 3 2" xfId="14856" xr:uid="{EEDAF57F-70DD-49B1-8D6E-93451887A290}"/>
    <cellStyle name="Normal 4 4 2 2 7 3 3" xfId="23296" xr:uid="{5A351B14-A16D-47D5-8371-19432D4A0EEF}"/>
    <cellStyle name="Normal 4 4 2 2 7 4" xfId="10638" xr:uid="{FF94B0B8-99E1-4203-8E1A-CE24D6EEC2DB}"/>
    <cellStyle name="Normal 4 4 2 2 7 5" xfId="19079" xr:uid="{354B245C-5083-42BC-9515-A6BD32A82740}"/>
    <cellStyle name="Normal 4 4 2 2 8" xfId="2536" xr:uid="{00000000-0005-0000-0000-000013150000}"/>
    <cellStyle name="Normal 4 4 2 2 8 2" xfId="6819" xr:uid="{00000000-0005-0000-0000-000014150000}"/>
    <cellStyle name="Normal 4 4 2 2 8 2 2" xfId="15269" xr:uid="{5C996830-3697-4AA8-8F2E-061EBB9AAB22}"/>
    <cellStyle name="Normal 4 4 2 2 8 2 3" xfId="23709" xr:uid="{6C30F3AC-4959-4B6C-B31E-B7D4E3BB7C86}"/>
    <cellStyle name="Normal 4 4 2 2 8 3" xfId="11051" xr:uid="{CED06AEB-3360-4CFE-8893-10C2238E9D9E}"/>
    <cellStyle name="Normal 4 4 2 2 8 4" xfId="19492" xr:uid="{5AE12E02-A1E2-414A-9A97-9A8E875CEB54}"/>
    <cellStyle name="Normal 4 4 2 2 9" xfId="4754" xr:uid="{00000000-0005-0000-0000-000015150000}"/>
    <cellStyle name="Normal 4 4 2 2 9 2" xfId="13204" xr:uid="{8CDC5F34-1427-46F0-8583-3FF9B77739F9}"/>
    <cellStyle name="Normal 4 4 2 2 9 3" xfId="21644" xr:uid="{A29E20B4-9F0D-4653-BB98-5B90BD642C5D}"/>
    <cellStyle name="Normal 4 4 2 3" xfId="384" xr:uid="{00000000-0005-0000-0000-000016150000}"/>
    <cellStyle name="Normal 4 4 2 3 10" xfId="17431" xr:uid="{3F5DF347-1991-47AF-BF2A-50814AFF3063}"/>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FA3876DC-436E-4D22-A28D-4376A5C2F308}"/>
    <cellStyle name="Normal 4 4 2 3 2 2 2 2 3" xfId="24207" xr:uid="{76D6E914-6922-4088-8CD4-1C3C0B103F7E}"/>
    <cellStyle name="Normal 4 4 2 3 2 2 2 3" xfId="11549" xr:uid="{9EE6BC71-9A6D-456D-8E9E-D34F58E0F029}"/>
    <cellStyle name="Normal 4 4 2 3 2 2 2 4" xfId="19990" xr:uid="{C1354022-2376-45BC-8258-3CF34A498692}"/>
    <cellStyle name="Normal 4 4 2 3 2 2 3" xfId="5172" xr:uid="{00000000-0005-0000-0000-00001B150000}"/>
    <cellStyle name="Normal 4 4 2 3 2 2 3 2" xfId="13622" xr:uid="{621EE407-7863-446E-9C0F-C1C3FF0D7004}"/>
    <cellStyle name="Normal 4 4 2 3 2 2 3 3" xfId="22062" xr:uid="{F33D110D-86DE-4B54-87E3-27DA10FEC43C}"/>
    <cellStyle name="Normal 4 4 2 3 2 2 4" xfId="9404" xr:uid="{9A62E674-0FAA-4820-AF06-48185293759C}"/>
    <cellStyle name="Normal 4 4 2 3 2 2 5" xfId="17845" xr:uid="{A32045A4-7E92-4A49-A597-E141E864DADB}"/>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138F28B3-EBC8-4D6D-A527-4D8DA2F68B10}"/>
    <cellStyle name="Normal 4 4 2 3 2 3 2 2 3" xfId="24620" xr:uid="{1FA48E99-2941-4D2D-AC90-55B0475327B9}"/>
    <cellStyle name="Normal 4 4 2 3 2 3 2 3" xfId="11962" xr:uid="{8E4DBD3A-C12C-4591-ACB3-1ADA424BD333}"/>
    <cellStyle name="Normal 4 4 2 3 2 3 2 4" xfId="20403" xr:uid="{560D5DFB-B95D-4321-B6F7-955F619CBC36}"/>
    <cellStyle name="Normal 4 4 2 3 2 3 3" xfId="5585" xr:uid="{00000000-0005-0000-0000-00001F150000}"/>
    <cellStyle name="Normal 4 4 2 3 2 3 3 2" xfId="14035" xr:uid="{71FFAAAF-8F8C-4C29-BE08-157B937E6861}"/>
    <cellStyle name="Normal 4 4 2 3 2 3 3 3" xfId="22475" xr:uid="{2B3FC939-8EB7-4640-AB6B-B42CCE249EB5}"/>
    <cellStyle name="Normal 4 4 2 3 2 3 4" xfId="9817" xr:uid="{A1B9A38E-7BB5-4C6B-8DB5-4EC1CB1CC918}"/>
    <cellStyle name="Normal 4 4 2 3 2 3 5" xfId="18258" xr:uid="{E01A788E-A4D8-4510-BEE9-91D70C2EC4C8}"/>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57F14010-ABC1-4150-B43A-EA229E697D80}"/>
    <cellStyle name="Normal 4 4 2 3 2 4 2 2 3" xfId="25033" xr:uid="{48B0F5E0-0CEF-48A1-AAC1-D64F1AA8A83D}"/>
    <cellStyle name="Normal 4 4 2 3 2 4 2 3" xfId="12375" xr:uid="{6EDBC90D-7AE4-4092-9B02-1A45AB6757C9}"/>
    <cellStyle name="Normal 4 4 2 3 2 4 2 4" xfId="20816" xr:uid="{97C26A9D-A9D1-49A6-9D5D-3678B78BC39D}"/>
    <cellStyle name="Normal 4 4 2 3 2 4 3" xfId="5998" xr:uid="{00000000-0005-0000-0000-000023150000}"/>
    <cellStyle name="Normal 4 4 2 3 2 4 3 2" xfId="14448" xr:uid="{81A99826-51A3-472C-869B-DCEF043DE7DC}"/>
    <cellStyle name="Normal 4 4 2 3 2 4 3 3" xfId="22888" xr:uid="{822CB828-292A-49B7-B220-C4345162C4E9}"/>
    <cellStyle name="Normal 4 4 2 3 2 4 4" xfId="10230" xr:uid="{AF38E366-32E9-40AD-AFD2-144A7C7DF5C9}"/>
    <cellStyle name="Normal 4 4 2 3 2 4 5" xfId="18671" xr:uid="{0FF8CF74-A8D0-4208-8085-E2AF7BE902EE}"/>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78055079-A445-4C43-A6D0-24A4AC27E113}"/>
    <cellStyle name="Normal 4 4 2 3 2 5 2 2 3" xfId="25446" xr:uid="{41614721-7001-4658-BC7D-1C3D0164FA79}"/>
    <cellStyle name="Normal 4 4 2 3 2 5 2 3" xfId="12788" xr:uid="{87C4CE14-9031-4973-B00F-6738A746A133}"/>
    <cellStyle name="Normal 4 4 2 3 2 5 2 4" xfId="21229" xr:uid="{18F73366-C1AB-4BBC-9502-A8EEEFF3979B}"/>
    <cellStyle name="Normal 4 4 2 3 2 5 3" xfId="6411" xr:uid="{00000000-0005-0000-0000-000027150000}"/>
    <cellStyle name="Normal 4 4 2 3 2 5 3 2" xfId="14861" xr:uid="{801048F2-6D4B-4C63-8749-A9A5221F6A7F}"/>
    <cellStyle name="Normal 4 4 2 3 2 5 3 3" xfId="23301" xr:uid="{13CE4E02-60DA-4E11-9052-FB64D7D4CA2A}"/>
    <cellStyle name="Normal 4 4 2 3 2 5 4" xfId="10643" xr:uid="{AF81B557-C20F-4BEF-B5D2-A0B00143D172}"/>
    <cellStyle name="Normal 4 4 2 3 2 5 5" xfId="19084" xr:uid="{9412BE37-20B1-48F4-906C-B3FD643BCB94}"/>
    <cellStyle name="Normal 4 4 2 3 2 6" xfId="2541" xr:uid="{00000000-0005-0000-0000-000028150000}"/>
    <cellStyle name="Normal 4 4 2 3 2 6 2" xfId="6824" xr:uid="{00000000-0005-0000-0000-000029150000}"/>
    <cellStyle name="Normal 4 4 2 3 2 6 2 2" xfId="15274" xr:uid="{69F9FD5E-6179-450F-A5CD-DCEEBB52FAB2}"/>
    <cellStyle name="Normal 4 4 2 3 2 6 2 3" xfId="23714" xr:uid="{46CE1125-475B-41F3-9089-120CDD1D0FDC}"/>
    <cellStyle name="Normal 4 4 2 3 2 6 3" xfId="11056" xr:uid="{200AF98D-9B9F-4EE3-B675-87803353BCEC}"/>
    <cellStyle name="Normal 4 4 2 3 2 6 4" xfId="19497" xr:uid="{99FED8E0-5516-40B2-B4F9-78EDAD235465}"/>
    <cellStyle name="Normal 4 4 2 3 2 7" xfId="4759" xr:uid="{00000000-0005-0000-0000-00002A150000}"/>
    <cellStyle name="Normal 4 4 2 3 2 7 2" xfId="13209" xr:uid="{57E5434E-9C1A-4847-971F-1CB542C36FC7}"/>
    <cellStyle name="Normal 4 4 2 3 2 7 3" xfId="21649" xr:uid="{3E6AB965-D2BD-43F6-82CD-2BE8FDB8B050}"/>
    <cellStyle name="Normal 4 4 2 3 2 8" xfId="8991" xr:uid="{D2F73EBD-1AC7-454E-B60D-2C9265596736}"/>
    <cellStyle name="Normal 4 4 2 3 2 9" xfId="17432" xr:uid="{5752A167-FBE9-42FC-BDA1-03F6E34A0915}"/>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D798216B-5890-4A05-9E32-E587AC867269}"/>
    <cellStyle name="Normal 4 4 2 3 3 2 2 3" xfId="24206" xr:uid="{A3B0E5D6-5806-428B-97DF-8830DE3758D7}"/>
    <cellStyle name="Normal 4 4 2 3 3 2 3" xfId="11548" xr:uid="{B6D5502F-1058-4550-AC7B-5AA1CDDD5636}"/>
    <cellStyle name="Normal 4 4 2 3 3 2 4" xfId="19989" xr:uid="{76E89056-5699-4AC3-828A-634112452D99}"/>
    <cellStyle name="Normal 4 4 2 3 3 3" xfId="5171" xr:uid="{00000000-0005-0000-0000-00002E150000}"/>
    <cellStyle name="Normal 4 4 2 3 3 3 2" xfId="13621" xr:uid="{0DA3FE02-1C9B-4052-84D5-D518E2CDD853}"/>
    <cellStyle name="Normal 4 4 2 3 3 3 3" xfId="22061" xr:uid="{F551A2D7-08F7-405B-8B4F-A126C8576C1B}"/>
    <cellStyle name="Normal 4 4 2 3 3 4" xfId="9403" xr:uid="{72D810AE-D756-45D1-969D-00926BF4338D}"/>
    <cellStyle name="Normal 4 4 2 3 3 5" xfId="17844" xr:uid="{56E78AA3-09FD-42EA-8A0A-45E1DAE24F62}"/>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9A3E635A-7B37-48DA-A7BB-AFE38D7B2995}"/>
    <cellStyle name="Normal 4 4 2 3 4 2 2 3" xfId="24619" xr:uid="{47367C79-CE8D-4BEB-9170-EF7876BDB8E0}"/>
    <cellStyle name="Normal 4 4 2 3 4 2 3" xfId="11961" xr:uid="{91622A1F-DA9B-4613-B855-3DEBB84E634D}"/>
    <cellStyle name="Normal 4 4 2 3 4 2 4" xfId="20402" xr:uid="{C978E96C-2F88-4B5C-94FE-330401593F74}"/>
    <cellStyle name="Normal 4 4 2 3 4 3" xfId="5584" xr:uid="{00000000-0005-0000-0000-000032150000}"/>
    <cellStyle name="Normal 4 4 2 3 4 3 2" xfId="14034" xr:uid="{2B691658-2621-4944-921F-56AB43D09013}"/>
    <cellStyle name="Normal 4 4 2 3 4 3 3" xfId="22474" xr:uid="{B521D3E2-FBFF-4979-BFEF-F8624F23F3D6}"/>
    <cellStyle name="Normal 4 4 2 3 4 4" xfId="9816" xr:uid="{F331689C-253C-45DA-8AA6-BBC949B1B598}"/>
    <cellStyle name="Normal 4 4 2 3 4 5" xfId="18257" xr:uid="{3FC43E60-993F-4DA8-87AF-E64C69206222}"/>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EDB630DB-1D1A-41BE-943F-CC935A4E2B5D}"/>
    <cellStyle name="Normal 4 4 2 3 5 2 2 3" xfId="25032" xr:uid="{8C9568A7-658B-4732-A019-866567A7B9C6}"/>
    <cellStyle name="Normal 4 4 2 3 5 2 3" xfId="12374" xr:uid="{E7408817-FE7B-4F5E-B019-BB6FE580A695}"/>
    <cellStyle name="Normal 4 4 2 3 5 2 4" xfId="20815" xr:uid="{2C05DA4E-7E3F-4A96-9354-10D033911572}"/>
    <cellStyle name="Normal 4 4 2 3 5 3" xfId="5997" xr:uid="{00000000-0005-0000-0000-000036150000}"/>
    <cellStyle name="Normal 4 4 2 3 5 3 2" xfId="14447" xr:uid="{0DB8206E-43C3-418A-A277-9ECA92D87799}"/>
    <cellStyle name="Normal 4 4 2 3 5 3 3" xfId="22887" xr:uid="{1BE2A96C-D1CD-40D9-B839-8297C72CF5A6}"/>
    <cellStyle name="Normal 4 4 2 3 5 4" xfId="10229" xr:uid="{A9C9E960-037C-490B-9286-9F06C19EEBA4}"/>
    <cellStyle name="Normal 4 4 2 3 5 5" xfId="18670" xr:uid="{AA01B46E-9C65-4DBB-B1E4-C14A1C2F859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6B592DD1-4FEF-4EA9-9E64-5D325209CBE1}"/>
    <cellStyle name="Normal 4 4 2 3 6 2 2 3" xfId="25445" xr:uid="{F7E0C86E-1E3D-46D2-AEC1-1017FE2C5EBF}"/>
    <cellStyle name="Normal 4 4 2 3 6 2 3" xfId="12787" xr:uid="{D59F1061-48F4-438B-A79D-9E912887B72A}"/>
    <cellStyle name="Normal 4 4 2 3 6 2 4" xfId="21228" xr:uid="{AE604A01-9F13-482B-9558-ACB0B0C4B3EE}"/>
    <cellStyle name="Normal 4 4 2 3 6 3" xfId="6410" xr:uid="{00000000-0005-0000-0000-00003A150000}"/>
    <cellStyle name="Normal 4 4 2 3 6 3 2" xfId="14860" xr:uid="{E8F29449-0BA9-4686-9037-3C3EEA3AE823}"/>
    <cellStyle name="Normal 4 4 2 3 6 3 3" xfId="23300" xr:uid="{E81F7161-561B-4096-ACA2-A0C067185B6F}"/>
    <cellStyle name="Normal 4 4 2 3 6 4" xfId="10642" xr:uid="{E6624A99-753D-4FD6-95BD-B6B9F35ADABB}"/>
    <cellStyle name="Normal 4 4 2 3 6 5" xfId="19083" xr:uid="{E23E6EDD-B382-4CCA-9315-7578D7145AFD}"/>
    <cellStyle name="Normal 4 4 2 3 7" xfId="2540" xr:uid="{00000000-0005-0000-0000-00003B150000}"/>
    <cellStyle name="Normal 4 4 2 3 7 2" xfId="6823" xr:uid="{00000000-0005-0000-0000-00003C150000}"/>
    <cellStyle name="Normal 4 4 2 3 7 2 2" xfId="15273" xr:uid="{CCBAC9B1-6189-4F34-AB84-7C613C024048}"/>
    <cellStyle name="Normal 4 4 2 3 7 2 3" xfId="23713" xr:uid="{A88E536B-791B-4A41-AA74-CC632D5BDDA0}"/>
    <cellStyle name="Normal 4 4 2 3 7 3" xfId="11055" xr:uid="{75EA7AC2-EB7D-4D06-BD84-5FE0B727798B}"/>
    <cellStyle name="Normal 4 4 2 3 7 4" xfId="19496" xr:uid="{760FE05B-77F1-4C5A-A7C2-49AD786A03FE}"/>
    <cellStyle name="Normal 4 4 2 3 8" xfId="4758" xr:uid="{00000000-0005-0000-0000-00003D150000}"/>
    <cellStyle name="Normal 4 4 2 3 8 2" xfId="13208" xr:uid="{8372B5D9-B483-4808-AC02-0A1A1726477B}"/>
    <cellStyle name="Normal 4 4 2 3 8 3" xfId="21648" xr:uid="{894CE0FD-DD1E-4359-8FB4-1BA173DCDDCA}"/>
    <cellStyle name="Normal 4 4 2 3 9" xfId="8990" xr:uid="{89CD09FA-0BBB-4712-86B7-C945F4EC4632}"/>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E56FE2C-4CAD-4909-A696-E4A6D8473394}"/>
    <cellStyle name="Normal 4 4 2 4 2 2 2 3" xfId="24208" xr:uid="{6F4A7BB1-DC8B-4AFF-9E62-53B56592BA8F}"/>
    <cellStyle name="Normal 4 4 2 4 2 2 3" xfId="11550" xr:uid="{94F52F71-D7F6-42BC-8C14-2333C75B4809}"/>
    <cellStyle name="Normal 4 4 2 4 2 2 4" xfId="19991" xr:uid="{CB3BA9FA-4A89-4FC8-AEAC-02D249D02979}"/>
    <cellStyle name="Normal 4 4 2 4 2 3" xfId="5173" xr:uid="{00000000-0005-0000-0000-000042150000}"/>
    <cellStyle name="Normal 4 4 2 4 2 3 2" xfId="13623" xr:uid="{A34FDB99-E11A-4294-AA20-E285A2F9EC83}"/>
    <cellStyle name="Normal 4 4 2 4 2 3 3" xfId="22063" xr:uid="{EEF6E651-7109-4C03-9CC3-F04C1AFFAF0A}"/>
    <cellStyle name="Normal 4 4 2 4 2 4" xfId="9405" xr:uid="{C3EB0138-FBEC-4823-8206-197A78175EEA}"/>
    <cellStyle name="Normal 4 4 2 4 2 5" xfId="17846" xr:uid="{50FD947E-ACD5-47A9-B0C2-EDCB7BC1CD4A}"/>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070FA6F7-D25C-453D-9A70-FAC4D20D259C}"/>
    <cellStyle name="Normal 4 4 2 4 3 2 2 3" xfId="24621" xr:uid="{E679A379-7B7A-46A2-97F4-D225265B2E6D}"/>
    <cellStyle name="Normal 4 4 2 4 3 2 3" xfId="11963" xr:uid="{D78C1856-42AC-4B7C-BFA1-0B7FBD739E35}"/>
    <cellStyle name="Normal 4 4 2 4 3 2 4" xfId="20404" xr:uid="{0D3A68EB-EFCA-44B8-A445-E408023DDD22}"/>
    <cellStyle name="Normal 4 4 2 4 3 3" xfId="5586" xr:uid="{00000000-0005-0000-0000-000046150000}"/>
    <cellStyle name="Normal 4 4 2 4 3 3 2" xfId="14036" xr:uid="{CA419BC9-21F7-43EF-A2FF-49585A4BE86A}"/>
    <cellStyle name="Normal 4 4 2 4 3 3 3" xfId="22476" xr:uid="{ABC6B50D-BE9E-42BF-9EA9-04E52C119F9C}"/>
    <cellStyle name="Normal 4 4 2 4 3 4" xfId="9818" xr:uid="{5B9FCC88-F7B2-437F-B660-343BDAC6F6DD}"/>
    <cellStyle name="Normal 4 4 2 4 3 5" xfId="18259" xr:uid="{4A670056-E6EB-4675-A884-4E358C2174EE}"/>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D5B80DA5-8D96-4BB7-9F2E-AFBE76E00DD9}"/>
    <cellStyle name="Normal 4 4 2 4 4 2 2 3" xfId="25034" xr:uid="{CE2EB142-96E0-402A-8074-024AF00E7149}"/>
    <cellStyle name="Normal 4 4 2 4 4 2 3" xfId="12376" xr:uid="{1DDEF693-E52B-4070-B564-8F3DB1E863D6}"/>
    <cellStyle name="Normal 4 4 2 4 4 2 4" xfId="20817" xr:uid="{CE512AD5-8878-4037-BF63-CAEA826CF564}"/>
    <cellStyle name="Normal 4 4 2 4 4 3" xfId="5999" xr:uid="{00000000-0005-0000-0000-00004A150000}"/>
    <cellStyle name="Normal 4 4 2 4 4 3 2" xfId="14449" xr:uid="{B0232AE8-E90A-4E68-9E63-1F67E7E137D7}"/>
    <cellStyle name="Normal 4 4 2 4 4 3 3" xfId="22889" xr:uid="{0D5B2970-14D0-4828-8B9D-7A0CCE10E7DC}"/>
    <cellStyle name="Normal 4 4 2 4 4 4" xfId="10231" xr:uid="{48A6D654-BE82-4314-9CBB-80CA54035A1F}"/>
    <cellStyle name="Normal 4 4 2 4 4 5" xfId="18672" xr:uid="{A4498C73-1E11-4EE3-9050-7D22390D1B9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F89A6BD4-B4AD-4E65-AB3A-414AB12CC174}"/>
    <cellStyle name="Normal 4 4 2 4 5 2 2 3" xfId="25447" xr:uid="{5A0E2765-BF00-4FF4-A5B6-07CC579D6D99}"/>
    <cellStyle name="Normal 4 4 2 4 5 2 3" xfId="12789" xr:uid="{0406750F-37E9-44E8-BE16-12AF13D3ED72}"/>
    <cellStyle name="Normal 4 4 2 4 5 2 4" xfId="21230" xr:uid="{92B293E7-12AE-4C74-A435-BDC22B27E580}"/>
    <cellStyle name="Normal 4 4 2 4 5 3" xfId="6412" xr:uid="{00000000-0005-0000-0000-00004E150000}"/>
    <cellStyle name="Normal 4 4 2 4 5 3 2" xfId="14862" xr:uid="{0B88B1B3-CA3F-42B5-8FA6-9CE9F55EAA58}"/>
    <cellStyle name="Normal 4 4 2 4 5 3 3" xfId="23302" xr:uid="{4EB9A216-14B0-4CC3-803D-9ECB502D1DD0}"/>
    <cellStyle name="Normal 4 4 2 4 5 4" xfId="10644" xr:uid="{8E222613-2AEC-4F79-9FB6-750015B9FEAE}"/>
    <cellStyle name="Normal 4 4 2 4 5 5" xfId="19085" xr:uid="{234DACCB-B10E-4444-A9C1-45594371C12A}"/>
    <cellStyle name="Normal 4 4 2 4 6" xfId="2542" xr:uid="{00000000-0005-0000-0000-00004F150000}"/>
    <cellStyle name="Normal 4 4 2 4 6 2" xfId="6825" xr:uid="{00000000-0005-0000-0000-000050150000}"/>
    <cellStyle name="Normal 4 4 2 4 6 2 2" xfId="15275" xr:uid="{FB5FD187-052D-4D07-8B32-965C5E9D9065}"/>
    <cellStyle name="Normal 4 4 2 4 6 2 3" xfId="23715" xr:uid="{0C581084-0CDE-4480-856B-DA9770DF3667}"/>
    <cellStyle name="Normal 4 4 2 4 6 3" xfId="11057" xr:uid="{A249811D-B311-4F5C-99B9-6311825B37F2}"/>
    <cellStyle name="Normal 4 4 2 4 6 4" xfId="19498" xr:uid="{C6442D29-09D4-4051-9DC9-A677267231D5}"/>
    <cellStyle name="Normal 4 4 2 4 7" xfId="4760" xr:uid="{00000000-0005-0000-0000-000051150000}"/>
    <cellStyle name="Normal 4 4 2 4 7 2" xfId="13210" xr:uid="{E56C6844-ED68-4B46-900E-094DB6094F4D}"/>
    <cellStyle name="Normal 4 4 2 4 7 3" xfId="21650" xr:uid="{4FB3AE40-9F2B-4DFC-B534-9C7876CB8C41}"/>
    <cellStyle name="Normal 4 4 2 4 8" xfId="8992" xr:uid="{7D053E63-3BEF-490D-B1FB-1AC862EB1090}"/>
    <cellStyle name="Normal 4 4 2 4 9" xfId="17433" xr:uid="{C0482B18-2AC2-420A-9405-6E9FC842B177}"/>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76A44B49-DD8B-47D3-A923-A6ADDF5A4E05}"/>
    <cellStyle name="Normal 4 4 2 5 2 2 3" xfId="24201" xr:uid="{7C7A9E37-1A99-419A-8A48-38F8489A3DCC}"/>
    <cellStyle name="Normal 4 4 2 5 2 3" xfId="11543" xr:uid="{4D7AB1B6-635A-4E38-B932-E1254BE09971}"/>
    <cellStyle name="Normal 4 4 2 5 2 4" xfId="19984" xr:uid="{0CEF39DE-6C8A-408A-995C-3790EE709D89}"/>
    <cellStyle name="Normal 4 4 2 5 3" xfId="5166" xr:uid="{00000000-0005-0000-0000-000055150000}"/>
    <cellStyle name="Normal 4 4 2 5 3 2" xfId="13616" xr:uid="{D8686E8A-EACE-447E-B576-59ABA8C1315D}"/>
    <cellStyle name="Normal 4 4 2 5 3 3" xfId="22056" xr:uid="{6B241EE6-044A-4FCD-AC0C-4C3D182EC848}"/>
    <cellStyle name="Normal 4 4 2 5 4" xfId="9398" xr:uid="{5C73CDC6-715A-4940-AB55-EE6F91BCAEAF}"/>
    <cellStyle name="Normal 4 4 2 5 5" xfId="17839" xr:uid="{E5BCFAC6-1BED-41FE-B44F-076DEAA45D1B}"/>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1D4254F6-1FAC-423D-A9EF-A2C880685204}"/>
    <cellStyle name="Normal 4 4 2 6 2 2 3" xfId="24614" xr:uid="{0253FC0E-51F2-47EE-94D5-0A5214B5DB6A}"/>
    <cellStyle name="Normal 4 4 2 6 2 3" xfId="11956" xr:uid="{FD575585-F0F6-4C97-8160-C44477ECEE23}"/>
    <cellStyle name="Normal 4 4 2 6 2 4" xfId="20397" xr:uid="{E6280C3B-07D4-42CB-AAA8-628E744D6DEC}"/>
    <cellStyle name="Normal 4 4 2 6 3" xfId="5579" xr:uid="{00000000-0005-0000-0000-000059150000}"/>
    <cellStyle name="Normal 4 4 2 6 3 2" xfId="14029" xr:uid="{A9F6199F-A712-4B53-8FCC-A7BE20A34E51}"/>
    <cellStyle name="Normal 4 4 2 6 3 3" xfId="22469" xr:uid="{01F7B0F2-3300-4463-B753-AD093C024FE0}"/>
    <cellStyle name="Normal 4 4 2 6 4" xfId="9811" xr:uid="{5D984014-DAE8-4BCD-A418-5CDC1A0B15BF}"/>
    <cellStyle name="Normal 4 4 2 6 5" xfId="18252" xr:uid="{FD332762-1566-4780-9B8E-70BE5B0F5804}"/>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42591455-A1DB-4618-A4C7-E7963F3FF71F}"/>
    <cellStyle name="Normal 4 4 2 7 2 2 3" xfId="25027" xr:uid="{902E66A8-4506-4012-816E-68014079C6F0}"/>
    <cellStyle name="Normal 4 4 2 7 2 3" xfId="12369" xr:uid="{12BAE1A4-F2E3-41D1-93D5-67107DB8ACBA}"/>
    <cellStyle name="Normal 4 4 2 7 2 4" xfId="20810" xr:uid="{5E128046-8015-4070-8DDE-4BA39388226A}"/>
    <cellStyle name="Normal 4 4 2 7 3" xfId="5992" xr:uid="{00000000-0005-0000-0000-00005D150000}"/>
    <cellStyle name="Normal 4 4 2 7 3 2" xfId="14442" xr:uid="{0B5E29C0-CF0E-4CF8-B372-333F1A9F3CF1}"/>
    <cellStyle name="Normal 4 4 2 7 3 3" xfId="22882" xr:uid="{311A7D86-6843-4749-A20C-18458E1F002F}"/>
    <cellStyle name="Normal 4 4 2 7 4" xfId="10224" xr:uid="{FD7D13D0-3C22-4B4F-9151-4FD439AEE1A2}"/>
    <cellStyle name="Normal 4 4 2 7 5" xfId="18665" xr:uid="{EC6BC7A0-E310-47D4-87B7-FB5FF18CA4B3}"/>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353B8202-F822-46B3-8E7A-65F6F1A67893}"/>
    <cellStyle name="Normal 4 4 2 8 2 2 3" xfId="25440" xr:uid="{A46B803F-7238-48D3-BA38-F512D9B52DEE}"/>
    <cellStyle name="Normal 4 4 2 8 2 3" xfId="12782" xr:uid="{423CFCD4-CACC-448C-AF85-F5EBC14FC526}"/>
    <cellStyle name="Normal 4 4 2 8 2 4" xfId="21223" xr:uid="{A8B38672-43DE-4F88-9E35-247E585C7340}"/>
    <cellStyle name="Normal 4 4 2 8 3" xfId="6405" xr:uid="{00000000-0005-0000-0000-000061150000}"/>
    <cellStyle name="Normal 4 4 2 8 3 2" xfId="14855" xr:uid="{899747F2-44E9-4882-8B84-890FF4A97E26}"/>
    <cellStyle name="Normal 4 4 2 8 3 3" xfId="23295" xr:uid="{1BA0E94F-10B8-413A-A252-3F13F0FF3FEC}"/>
    <cellStyle name="Normal 4 4 2 8 4" xfId="10637" xr:uid="{6CD16089-8330-4319-B9AC-18FCA55C6D39}"/>
    <cellStyle name="Normal 4 4 2 8 5" xfId="19078" xr:uid="{9A9A5D1B-2FF6-4104-BD60-7645AC3C598C}"/>
    <cellStyle name="Normal 4 4 2 9" xfId="2535" xr:uid="{00000000-0005-0000-0000-000062150000}"/>
    <cellStyle name="Normal 4 4 2 9 2" xfId="6818" xr:uid="{00000000-0005-0000-0000-000063150000}"/>
    <cellStyle name="Normal 4 4 2 9 2 2" xfId="15268" xr:uid="{CFC8630A-760F-4CEA-9640-738175539F77}"/>
    <cellStyle name="Normal 4 4 2 9 2 3" xfId="23708" xr:uid="{2B905E6E-40F3-42FD-B054-BB3E1908C33E}"/>
    <cellStyle name="Normal 4 4 2 9 3" xfId="11050" xr:uid="{732FFA6F-D6BC-467A-82C4-0DB3309DBA8D}"/>
    <cellStyle name="Normal 4 4 2 9 4" xfId="19491" xr:uid="{49BEE4AF-FBB2-4F81-A052-188BE675B592}"/>
    <cellStyle name="Normal 4 4 3" xfId="387" xr:uid="{00000000-0005-0000-0000-000064150000}"/>
    <cellStyle name="Normal 4 4 3 10" xfId="8993" xr:uid="{13E0CF30-59B4-4E1E-9D13-B6946CB7B85C}"/>
    <cellStyle name="Normal 4 4 3 11" xfId="17434" xr:uid="{44680125-87A6-4CDF-A8D2-FB12B58D713D}"/>
    <cellStyle name="Normal 4 4 3 2" xfId="388" xr:uid="{00000000-0005-0000-0000-000065150000}"/>
    <cellStyle name="Normal 4 4 3 2 10" xfId="17435" xr:uid="{7784AD59-CD58-428F-AEAC-7C76402E8A3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5B9A2C15-FEF4-45A8-AB41-D0C39AB7B354}"/>
    <cellStyle name="Normal 4 4 3 2 2 2 2 2 3" xfId="24211" xr:uid="{A1F195D4-8CC0-467D-B815-A200B5DC4AFC}"/>
    <cellStyle name="Normal 4 4 3 2 2 2 2 3" xfId="11553" xr:uid="{E069B18A-8161-4E2B-88EA-CA04C628823F}"/>
    <cellStyle name="Normal 4 4 3 2 2 2 2 4" xfId="19994" xr:uid="{092D6CAE-0881-415D-A3E5-4B1D88B1AA32}"/>
    <cellStyle name="Normal 4 4 3 2 2 2 3" xfId="5176" xr:uid="{00000000-0005-0000-0000-00006A150000}"/>
    <cellStyle name="Normal 4 4 3 2 2 2 3 2" xfId="13626" xr:uid="{2E0583B5-DF9C-4A3B-9A4B-8107987035E8}"/>
    <cellStyle name="Normal 4 4 3 2 2 2 3 3" xfId="22066" xr:uid="{0B82D1D3-CA1C-4AD1-ACC6-2BEE532C9BE2}"/>
    <cellStyle name="Normal 4 4 3 2 2 2 4" xfId="9408" xr:uid="{A96D4AE7-495E-4ECA-B253-75DEE712B360}"/>
    <cellStyle name="Normal 4 4 3 2 2 2 5" xfId="17849" xr:uid="{5742CC84-3202-4BCD-98EF-82DD9E0878CB}"/>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E5AA3127-7614-46CA-AE28-AFFD2155D4A8}"/>
    <cellStyle name="Normal 4 4 3 2 2 3 2 2 3" xfId="24624" xr:uid="{8A34CC6C-ED10-4494-A27B-1B8262CE77FF}"/>
    <cellStyle name="Normal 4 4 3 2 2 3 2 3" xfId="11966" xr:uid="{CCF4804F-8B81-4C69-A443-103780F468EC}"/>
    <cellStyle name="Normal 4 4 3 2 2 3 2 4" xfId="20407" xr:uid="{9CC5F423-9F44-4E03-B17A-601A8A8B1FEF}"/>
    <cellStyle name="Normal 4 4 3 2 2 3 3" xfId="5589" xr:uid="{00000000-0005-0000-0000-00006E150000}"/>
    <cellStyle name="Normal 4 4 3 2 2 3 3 2" xfId="14039" xr:uid="{0F6E8E6B-3A37-4A85-B84C-346799F63BED}"/>
    <cellStyle name="Normal 4 4 3 2 2 3 3 3" xfId="22479" xr:uid="{FE23CC54-D21A-4B02-8F7B-60BAF4B32EB4}"/>
    <cellStyle name="Normal 4 4 3 2 2 3 4" xfId="9821" xr:uid="{6D2C4BEA-5C91-4E44-A800-2E5114258414}"/>
    <cellStyle name="Normal 4 4 3 2 2 3 5" xfId="18262" xr:uid="{880F95DC-41D3-4E8F-AA5C-8B4230BA7A3D}"/>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E8A4E71C-BFFC-483F-9206-575FB76C9F60}"/>
    <cellStyle name="Normal 4 4 3 2 2 4 2 2 3" xfId="25037" xr:uid="{7BBA5FB8-F982-40EC-B742-1593184CFB7B}"/>
    <cellStyle name="Normal 4 4 3 2 2 4 2 3" xfId="12379" xr:uid="{68943246-5D66-4D4A-830E-267294858550}"/>
    <cellStyle name="Normal 4 4 3 2 2 4 2 4" xfId="20820" xr:uid="{CF9F572D-5749-4D38-8BFC-7ABB00F43B29}"/>
    <cellStyle name="Normal 4 4 3 2 2 4 3" xfId="6002" xr:uid="{00000000-0005-0000-0000-000072150000}"/>
    <cellStyle name="Normal 4 4 3 2 2 4 3 2" xfId="14452" xr:uid="{2E034E5C-CF46-4C9F-9C36-5FA58954ED4B}"/>
    <cellStyle name="Normal 4 4 3 2 2 4 3 3" xfId="22892" xr:uid="{4103AE5B-4B99-46A2-AC08-32F20CD468D1}"/>
    <cellStyle name="Normal 4 4 3 2 2 4 4" xfId="10234" xr:uid="{70E07532-B3FD-4D0A-A0AF-CF57E2985E8F}"/>
    <cellStyle name="Normal 4 4 3 2 2 4 5" xfId="18675" xr:uid="{439C4E36-BD51-45AE-968F-F7A33DB7A0D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2F84ACEC-738B-4AD2-911E-70BFFE53EC2F}"/>
    <cellStyle name="Normal 4 4 3 2 2 5 2 2 3" xfId="25450" xr:uid="{43FBFEBB-AAEF-4FA9-AB63-F74B54EA0A53}"/>
    <cellStyle name="Normal 4 4 3 2 2 5 2 3" xfId="12792" xr:uid="{9E967957-88A3-417B-837F-7124EBEBA814}"/>
    <cellStyle name="Normal 4 4 3 2 2 5 2 4" xfId="21233" xr:uid="{DA5D97C7-306C-4918-8650-F93F20D48B8F}"/>
    <cellStyle name="Normal 4 4 3 2 2 5 3" xfId="6415" xr:uid="{00000000-0005-0000-0000-000076150000}"/>
    <cellStyle name="Normal 4 4 3 2 2 5 3 2" xfId="14865" xr:uid="{90E13051-7809-41E4-BD12-7610AF59B433}"/>
    <cellStyle name="Normal 4 4 3 2 2 5 3 3" xfId="23305" xr:uid="{DECE36C1-D973-4065-BD52-76C9F29BDFBF}"/>
    <cellStyle name="Normal 4 4 3 2 2 5 4" xfId="10647" xr:uid="{C9DD8D64-209B-4B50-A537-9FD075730663}"/>
    <cellStyle name="Normal 4 4 3 2 2 5 5" xfId="19088" xr:uid="{C9DED126-52E9-447A-8ED5-AEAFBD564B78}"/>
    <cellStyle name="Normal 4 4 3 2 2 6" xfId="2545" xr:uid="{00000000-0005-0000-0000-000077150000}"/>
    <cellStyle name="Normal 4 4 3 2 2 6 2" xfId="6828" xr:uid="{00000000-0005-0000-0000-000078150000}"/>
    <cellStyle name="Normal 4 4 3 2 2 6 2 2" xfId="15278" xr:uid="{9EBB25A6-AC07-4B9E-AA9F-041BD154BCAD}"/>
    <cellStyle name="Normal 4 4 3 2 2 6 2 3" xfId="23718" xr:uid="{544F8AD2-B861-4F4D-8F52-42BCA4DF36EE}"/>
    <cellStyle name="Normal 4 4 3 2 2 6 3" xfId="11060" xr:uid="{65C1CA5B-0873-445B-99A1-513772179515}"/>
    <cellStyle name="Normal 4 4 3 2 2 6 4" xfId="19501" xr:uid="{A9338250-3EA1-4F78-B221-252B8D7CACD5}"/>
    <cellStyle name="Normal 4 4 3 2 2 7" xfId="4763" xr:uid="{00000000-0005-0000-0000-000079150000}"/>
    <cellStyle name="Normal 4 4 3 2 2 7 2" xfId="13213" xr:uid="{2ACAEF36-9B6B-493D-8A93-0A102319DB0D}"/>
    <cellStyle name="Normal 4 4 3 2 2 7 3" xfId="21653" xr:uid="{408A925D-4E11-4ACA-BC8B-9F731306378A}"/>
    <cellStyle name="Normal 4 4 3 2 2 8" xfId="8995" xr:uid="{8F94D514-1814-4631-97AF-D9F5092293FE}"/>
    <cellStyle name="Normal 4 4 3 2 2 9" xfId="17436" xr:uid="{20A31788-944E-44FE-8B69-32F63569498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B46A8125-BB7A-419D-B08E-090AC42D9EBA}"/>
    <cellStyle name="Normal 4 4 3 2 3 2 2 3" xfId="24210" xr:uid="{821F4C3D-93C4-42BF-A93C-282CBFDDD499}"/>
    <cellStyle name="Normal 4 4 3 2 3 2 3" xfId="11552" xr:uid="{7A4FC075-19C8-4047-8BEC-19A5869D2375}"/>
    <cellStyle name="Normal 4 4 3 2 3 2 4" xfId="19993" xr:uid="{29E19DCC-3A61-405D-8093-6E6B7CCF3288}"/>
    <cellStyle name="Normal 4 4 3 2 3 3" xfId="5175" xr:uid="{00000000-0005-0000-0000-00007D150000}"/>
    <cellStyle name="Normal 4 4 3 2 3 3 2" xfId="13625" xr:uid="{B4B43D7E-0EB5-418B-825E-4AF78DEED7F8}"/>
    <cellStyle name="Normal 4 4 3 2 3 3 3" xfId="22065" xr:uid="{6C8D1283-EC9B-4FBC-ADBF-1EA352C26AC3}"/>
    <cellStyle name="Normal 4 4 3 2 3 4" xfId="9407" xr:uid="{7F645E8E-1C63-420C-95B6-DFB9E6499170}"/>
    <cellStyle name="Normal 4 4 3 2 3 5" xfId="17848" xr:uid="{333A5E61-D44A-4247-BA76-010377F24577}"/>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89BFD826-8736-4021-BA56-AA9F49849183}"/>
    <cellStyle name="Normal 4 4 3 2 4 2 2 3" xfId="24623" xr:uid="{6BB2BCD9-8B8E-4FBE-B67C-00C5B93402CC}"/>
    <cellStyle name="Normal 4 4 3 2 4 2 3" xfId="11965" xr:uid="{46901CB5-B642-4F0B-804C-CC9EBFAABD2A}"/>
    <cellStyle name="Normal 4 4 3 2 4 2 4" xfId="20406" xr:uid="{67B2F7FF-6005-470F-8BD7-71EB8D731161}"/>
    <cellStyle name="Normal 4 4 3 2 4 3" xfId="5588" xr:uid="{00000000-0005-0000-0000-000081150000}"/>
    <cellStyle name="Normal 4 4 3 2 4 3 2" xfId="14038" xr:uid="{BCB0D930-7914-4D37-AB49-8D8CBBD91BFD}"/>
    <cellStyle name="Normal 4 4 3 2 4 3 3" xfId="22478" xr:uid="{D9862F36-F711-4C97-B5B6-BBA6BEA80630}"/>
    <cellStyle name="Normal 4 4 3 2 4 4" xfId="9820" xr:uid="{1D74BC26-E25E-4E7C-B391-FC6809FC3754}"/>
    <cellStyle name="Normal 4 4 3 2 4 5" xfId="18261" xr:uid="{CA48856E-EFF9-432B-9C7A-80E80218B49D}"/>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3F4447FB-2B23-4468-96CD-83F941A60F84}"/>
    <cellStyle name="Normal 4 4 3 2 5 2 2 3" xfId="25036" xr:uid="{56801441-76B4-4DA9-86BE-0D7E3F18AE61}"/>
    <cellStyle name="Normal 4 4 3 2 5 2 3" xfId="12378" xr:uid="{9C27E67B-60E5-496F-8FDD-BE29A950D39F}"/>
    <cellStyle name="Normal 4 4 3 2 5 2 4" xfId="20819" xr:uid="{0E4CD6BD-38E5-43D9-AAB5-6DF16AEA5CE8}"/>
    <cellStyle name="Normal 4 4 3 2 5 3" xfId="6001" xr:uid="{00000000-0005-0000-0000-000085150000}"/>
    <cellStyle name="Normal 4 4 3 2 5 3 2" xfId="14451" xr:uid="{21B23637-3DFE-4F01-8F7D-2E0E68FF1530}"/>
    <cellStyle name="Normal 4 4 3 2 5 3 3" xfId="22891" xr:uid="{F4C1F094-6C4D-45C1-942B-084511484A34}"/>
    <cellStyle name="Normal 4 4 3 2 5 4" xfId="10233" xr:uid="{06BD715F-A4B1-495C-826D-851B5A1352C9}"/>
    <cellStyle name="Normal 4 4 3 2 5 5" xfId="18674" xr:uid="{6C0CFBD2-9A18-45FD-8A21-B9C18A0974E9}"/>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1412D71C-6610-4CE9-86E5-20F79FB5AFE6}"/>
    <cellStyle name="Normal 4 4 3 2 6 2 2 3" xfId="25449" xr:uid="{D15580AD-050C-4C16-AB9E-715AB51959E6}"/>
    <cellStyle name="Normal 4 4 3 2 6 2 3" xfId="12791" xr:uid="{DEBFDDD2-27AB-442C-A6C8-A2EE03F2E0C3}"/>
    <cellStyle name="Normal 4 4 3 2 6 2 4" xfId="21232" xr:uid="{DE58B882-3E8F-49CD-97EF-CB16C74D2F44}"/>
    <cellStyle name="Normal 4 4 3 2 6 3" xfId="6414" xr:uid="{00000000-0005-0000-0000-000089150000}"/>
    <cellStyle name="Normal 4 4 3 2 6 3 2" xfId="14864" xr:uid="{4CE2F505-2E42-4E08-9DE0-2788212B67F9}"/>
    <cellStyle name="Normal 4 4 3 2 6 3 3" xfId="23304" xr:uid="{E4BD85FF-BD5E-4EA0-AA8E-2FD2D97419A7}"/>
    <cellStyle name="Normal 4 4 3 2 6 4" xfId="10646" xr:uid="{440A1E6F-40EE-40C4-B23A-4CFFB28C642B}"/>
    <cellStyle name="Normal 4 4 3 2 6 5" xfId="19087" xr:uid="{C7226AD3-49A3-46FE-8A74-4BFB7FCB51EC}"/>
    <cellStyle name="Normal 4 4 3 2 7" xfId="2544" xr:uid="{00000000-0005-0000-0000-00008A150000}"/>
    <cellStyle name="Normal 4 4 3 2 7 2" xfId="6827" xr:uid="{00000000-0005-0000-0000-00008B150000}"/>
    <cellStyle name="Normal 4 4 3 2 7 2 2" xfId="15277" xr:uid="{31ED23D5-6F2C-44C4-9C04-5D6EBC8265EC}"/>
    <cellStyle name="Normal 4 4 3 2 7 2 3" xfId="23717" xr:uid="{CAFC486E-CEF9-49A7-8F2F-C1C72522BA6C}"/>
    <cellStyle name="Normal 4 4 3 2 7 3" xfId="11059" xr:uid="{2FC48E74-ECB3-4254-B1A9-FAA2A4F1D52B}"/>
    <cellStyle name="Normal 4 4 3 2 7 4" xfId="19500" xr:uid="{AE1386C0-1DD5-49B6-8DB4-A8F5DD043161}"/>
    <cellStyle name="Normal 4 4 3 2 8" xfId="4762" xr:uid="{00000000-0005-0000-0000-00008C150000}"/>
    <cellStyle name="Normal 4 4 3 2 8 2" xfId="13212" xr:uid="{D94F709E-0500-4127-A2F6-310747107C95}"/>
    <cellStyle name="Normal 4 4 3 2 8 3" xfId="21652" xr:uid="{DBAD0FF9-470A-482D-9A70-97DB3466D508}"/>
    <cellStyle name="Normal 4 4 3 2 9" xfId="8994" xr:uid="{7E109045-FDF4-4BDE-BF19-CACBB851BA9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DC732D0D-B193-4428-97E3-DA4BDACBF23C}"/>
    <cellStyle name="Normal 4 4 3 3 2 2 2 3" xfId="24212" xr:uid="{A8D5090F-11EE-4EEF-A046-4F49A29441C6}"/>
    <cellStyle name="Normal 4 4 3 3 2 2 3" xfId="11554" xr:uid="{42AD545E-AA80-47FB-BE5E-B12D6F2C8E2D}"/>
    <cellStyle name="Normal 4 4 3 3 2 2 4" xfId="19995" xr:uid="{3987BDF7-6E64-495A-BFEB-CA097E3090CB}"/>
    <cellStyle name="Normal 4 4 3 3 2 3" xfId="5177" xr:uid="{00000000-0005-0000-0000-000091150000}"/>
    <cellStyle name="Normal 4 4 3 3 2 3 2" xfId="13627" xr:uid="{BE8CE961-D9C0-4CAD-8589-B1532AE5BBA5}"/>
    <cellStyle name="Normal 4 4 3 3 2 3 3" xfId="22067" xr:uid="{4595FD23-304C-4F29-B75B-8D2344A3FBAB}"/>
    <cellStyle name="Normal 4 4 3 3 2 4" xfId="9409" xr:uid="{18EAE329-FC04-493A-855C-795770213695}"/>
    <cellStyle name="Normal 4 4 3 3 2 5" xfId="17850" xr:uid="{8DC21FD2-05FF-44EE-A430-4F5DE5A7A7FA}"/>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D680CB07-F787-4476-9022-66A74549F534}"/>
    <cellStyle name="Normal 4 4 3 3 3 2 2 3" xfId="24625" xr:uid="{00AE6EC6-E966-4103-93CB-A4C739ABC4EB}"/>
    <cellStyle name="Normal 4 4 3 3 3 2 3" xfId="11967" xr:uid="{B3246BDD-113B-4EC0-8264-DDF81F665986}"/>
    <cellStyle name="Normal 4 4 3 3 3 2 4" xfId="20408" xr:uid="{7D4EAB7D-2916-4538-8B89-077E0E2CCF0B}"/>
    <cellStyle name="Normal 4 4 3 3 3 3" xfId="5590" xr:uid="{00000000-0005-0000-0000-000095150000}"/>
    <cellStyle name="Normal 4 4 3 3 3 3 2" xfId="14040" xr:uid="{9988A0EF-9816-477E-AFCA-5A3DFF7CEB37}"/>
    <cellStyle name="Normal 4 4 3 3 3 3 3" xfId="22480" xr:uid="{0235E8EC-9220-46B6-B133-1E490B2C42E1}"/>
    <cellStyle name="Normal 4 4 3 3 3 4" xfId="9822" xr:uid="{71828089-CCD2-437C-B9D5-6695D2837671}"/>
    <cellStyle name="Normal 4 4 3 3 3 5" xfId="18263" xr:uid="{BA45D475-F77B-43C5-8F73-CD936115BB41}"/>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D15DA2E2-C855-449B-A0C4-44771C3CF0D7}"/>
    <cellStyle name="Normal 4 4 3 3 4 2 2 3" xfId="25038" xr:uid="{308E1981-54D0-46B4-A22C-DDCB27770158}"/>
    <cellStyle name="Normal 4 4 3 3 4 2 3" xfId="12380" xr:uid="{72FB1AE0-7DF7-4753-8268-6D1E05C752F1}"/>
    <cellStyle name="Normal 4 4 3 3 4 2 4" xfId="20821" xr:uid="{9D351CA4-52A0-4D33-97AC-00DD47C96B86}"/>
    <cellStyle name="Normal 4 4 3 3 4 3" xfId="6003" xr:uid="{00000000-0005-0000-0000-000099150000}"/>
    <cellStyle name="Normal 4 4 3 3 4 3 2" xfId="14453" xr:uid="{1F68F4FF-FBB2-43FF-BD4A-7F68A2D34AEA}"/>
    <cellStyle name="Normal 4 4 3 3 4 3 3" xfId="22893" xr:uid="{0BAAD944-1E3C-42E8-A7E4-22CFFF2CFDBD}"/>
    <cellStyle name="Normal 4 4 3 3 4 4" xfId="10235" xr:uid="{D167A191-F635-447E-A6A3-CE9414B0FDC8}"/>
    <cellStyle name="Normal 4 4 3 3 4 5" xfId="18676" xr:uid="{51405484-025D-4987-AB77-1BF1C1AB1E8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BE90CFDA-0688-472D-ADED-2D39AD09D43A}"/>
    <cellStyle name="Normal 4 4 3 3 5 2 2 3" xfId="25451" xr:uid="{799861B2-C473-4891-80F6-06DF414539F4}"/>
    <cellStyle name="Normal 4 4 3 3 5 2 3" xfId="12793" xr:uid="{FC49E2D7-9A21-4BFF-9AB1-53F1A32C3D6D}"/>
    <cellStyle name="Normal 4 4 3 3 5 2 4" xfId="21234" xr:uid="{5DCE90AF-C2EB-46A6-A9D1-A906EE638888}"/>
    <cellStyle name="Normal 4 4 3 3 5 3" xfId="6416" xr:uid="{00000000-0005-0000-0000-00009D150000}"/>
    <cellStyle name="Normal 4 4 3 3 5 3 2" xfId="14866" xr:uid="{AAA0116E-FEF2-48B8-9A43-B7EB63E485FE}"/>
    <cellStyle name="Normal 4 4 3 3 5 3 3" xfId="23306" xr:uid="{9F753E46-9BC5-40D9-BF59-BB325C762008}"/>
    <cellStyle name="Normal 4 4 3 3 5 4" xfId="10648" xr:uid="{9D75C6E4-4C47-472C-A4E7-CB033E247640}"/>
    <cellStyle name="Normal 4 4 3 3 5 5" xfId="19089" xr:uid="{618692C0-60DA-43D6-95BB-7C585E2E6F5B}"/>
    <cellStyle name="Normal 4 4 3 3 6" xfId="2546" xr:uid="{00000000-0005-0000-0000-00009E150000}"/>
    <cellStyle name="Normal 4 4 3 3 6 2" xfId="6829" xr:uid="{00000000-0005-0000-0000-00009F150000}"/>
    <cellStyle name="Normal 4 4 3 3 6 2 2" xfId="15279" xr:uid="{82126276-EC4A-46FC-B95C-3C65AD044018}"/>
    <cellStyle name="Normal 4 4 3 3 6 2 3" xfId="23719" xr:uid="{67002AC4-C827-425C-961B-E68CA5D16FF1}"/>
    <cellStyle name="Normal 4 4 3 3 6 3" xfId="11061" xr:uid="{12259F39-E758-4BBF-8F37-4A60991D50AD}"/>
    <cellStyle name="Normal 4 4 3 3 6 4" xfId="19502" xr:uid="{D72F5152-C454-4179-B171-F42B9B322C88}"/>
    <cellStyle name="Normal 4 4 3 3 7" xfId="4764" xr:uid="{00000000-0005-0000-0000-0000A0150000}"/>
    <cellStyle name="Normal 4 4 3 3 7 2" xfId="13214" xr:uid="{C3DEEE32-8548-42E4-9A22-BE2681012E60}"/>
    <cellStyle name="Normal 4 4 3 3 7 3" xfId="21654" xr:uid="{451A8AB3-BD81-47FC-A1CB-22C123C3085F}"/>
    <cellStyle name="Normal 4 4 3 3 8" xfId="8996" xr:uid="{A77782D9-68B3-41BA-AD77-233EE84AA6DC}"/>
    <cellStyle name="Normal 4 4 3 3 9" xfId="17437" xr:uid="{3295C0DB-7E3E-4AD7-95CC-103D72A8C2BF}"/>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944B20B3-F868-4745-9328-898FB127CDD7}"/>
    <cellStyle name="Normal 4 4 3 4 2 2 3" xfId="24209" xr:uid="{23A7FE73-5B20-40AA-AD83-DF26B40A6E72}"/>
    <cellStyle name="Normal 4 4 3 4 2 3" xfId="11551" xr:uid="{5BD8DA4D-453D-440B-B0A6-55FED7692FE2}"/>
    <cellStyle name="Normal 4 4 3 4 2 4" xfId="19992" xr:uid="{ADB02DF3-CD69-4487-94A6-72075E4E2FD0}"/>
    <cellStyle name="Normal 4 4 3 4 3" xfId="5174" xr:uid="{00000000-0005-0000-0000-0000A4150000}"/>
    <cellStyle name="Normal 4 4 3 4 3 2" xfId="13624" xr:uid="{7F194896-69A6-4A89-A46D-7411034E3E67}"/>
    <cellStyle name="Normal 4 4 3 4 3 3" xfId="22064" xr:uid="{B8EA3E61-8726-4BA1-B6C0-E608B665D850}"/>
    <cellStyle name="Normal 4 4 3 4 4" xfId="9406" xr:uid="{915E9DD5-A144-4972-AD0C-314FDC15A444}"/>
    <cellStyle name="Normal 4 4 3 4 5" xfId="17847" xr:uid="{C995E2D2-A8D6-4FD2-A1B1-A925EFFB0AF2}"/>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FE5D12BD-776D-45C9-A8E7-3EDE5A0AE9FD}"/>
    <cellStyle name="Normal 4 4 3 5 2 2 3" xfId="24622" xr:uid="{12BC12E2-6CF9-4BBE-89BA-253A2CF319FC}"/>
    <cellStyle name="Normal 4 4 3 5 2 3" xfId="11964" xr:uid="{7B6AD6B0-E526-470A-B6FC-AB69CEBCF434}"/>
    <cellStyle name="Normal 4 4 3 5 2 4" xfId="20405" xr:uid="{E5C96EA2-F318-4C9F-A436-29C3A1E8BCA5}"/>
    <cellStyle name="Normal 4 4 3 5 3" xfId="5587" xr:uid="{00000000-0005-0000-0000-0000A8150000}"/>
    <cellStyle name="Normal 4 4 3 5 3 2" xfId="14037" xr:uid="{27E3F3A3-DDC6-4EF7-9B71-EA6F4145763F}"/>
    <cellStyle name="Normal 4 4 3 5 3 3" xfId="22477" xr:uid="{77FB8F71-77F7-4F49-AFEC-076F85E382EB}"/>
    <cellStyle name="Normal 4 4 3 5 4" xfId="9819" xr:uid="{6AE83AEE-7382-4DD8-9B84-317CCE2DDDC3}"/>
    <cellStyle name="Normal 4 4 3 5 5" xfId="18260" xr:uid="{FF38EC2A-C6F7-43D1-A724-68CAC165C713}"/>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1DFAF0CF-2586-46B6-9E5B-37D05E9ACB56}"/>
    <cellStyle name="Normal 4 4 3 6 2 2 3" xfId="25035" xr:uid="{5168CB86-6858-46B1-9264-D77B0FB5011A}"/>
    <cellStyle name="Normal 4 4 3 6 2 3" xfId="12377" xr:uid="{E1D764E2-0F4B-421A-B5A0-1C5B304C8E43}"/>
    <cellStyle name="Normal 4 4 3 6 2 4" xfId="20818" xr:uid="{DC7D1A36-B973-4B67-9ED4-1F2636637A18}"/>
    <cellStyle name="Normal 4 4 3 6 3" xfId="6000" xr:uid="{00000000-0005-0000-0000-0000AC150000}"/>
    <cellStyle name="Normal 4 4 3 6 3 2" xfId="14450" xr:uid="{F2366986-EA84-4A0C-A41A-051E3F9A00AA}"/>
    <cellStyle name="Normal 4 4 3 6 3 3" xfId="22890" xr:uid="{24849D76-67D6-4780-9324-FA4834D898DE}"/>
    <cellStyle name="Normal 4 4 3 6 4" xfId="10232" xr:uid="{F46B96F8-EF22-4F16-A0AA-C5EF066987B9}"/>
    <cellStyle name="Normal 4 4 3 6 5" xfId="18673" xr:uid="{908941B7-9611-41AD-9B6D-180D3CD6D90D}"/>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068F4B3A-A165-4A05-BFD7-56AF39872AAE}"/>
    <cellStyle name="Normal 4 4 3 7 2 2 3" xfId="25448" xr:uid="{DC93B2BD-EE6E-4A95-9540-135F2B250C0D}"/>
    <cellStyle name="Normal 4 4 3 7 2 3" xfId="12790" xr:uid="{29A60CE1-D70C-4212-8EE3-4614C4543DEC}"/>
    <cellStyle name="Normal 4 4 3 7 2 4" xfId="21231" xr:uid="{09293FDD-A470-4EC4-ABC2-3B517C4F7E8D}"/>
    <cellStyle name="Normal 4 4 3 7 3" xfId="6413" xr:uid="{00000000-0005-0000-0000-0000B0150000}"/>
    <cellStyle name="Normal 4 4 3 7 3 2" xfId="14863" xr:uid="{CF9106DE-95C3-48C0-90D2-02488464579E}"/>
    <cellStyle name="Normal 4 4 3 7 3 3" xfId="23303" xr:uid="{9E408E44-B98E-4A96-A150-BEC19BAFCE7F}"/>
    <cellStyle name="Normal 4 4 3 7 4" xfId="10645" xr:uid="{97B879A6-23D1-4216-8794-7504CE3CD01B}"/>
    <cellStyle name="Normal 4 4 3 7 5" xfId="19086" xr:uid="{AF0D643F-0E6B-4344-B5A3-674215E82AE1}"/>
    <cellStyle name="Normal 4 4 3 8" xfId="2543" xr:uid="{00000000-0005-0000-0000-0000B1150000}"/>
    <cellStyle name="Normal 4 4 3 8 2" xfId="6826" xr:uid="{00000000-0005-0000-0000-0000B2150000}"/>
    <cellStyle name="Normal 4 4 3 8 2 2" xfId="15276" xr:uid="{F8014A5C-5ABC-46AC-A01C-C04AA7BB040D}"/>
    <cellStyle name="Normal 4 4 3 8 2 3" xfId="23716" xr:uid="{D250048A-3F65-42AD-88C1-411CCF52EF59}"/>
    <cellStyle name="Normal 4 4 3 8 3" xfId="11058" xr:uid="{16578E96-C706-4574-8BAB-DDEFBF094CFA}"/>
    <cellStyle name="Normal 4 4 3 8 4" xfId="19499" xr:uid="{5ACFB7C3-81F6-44E7-83E7-334ABC766C59}"/>
    <cellStyle name="Normal 4 4 3 9" xfId="4761" xr:uid="{00000000-0005-0000-0000-0000B3150000}"/>
    <cellStyle name="Normal 4 4 3 9 2" xfId="13211" xr:uid="{F115A073-B013-43BA-80AD-08937B28921F}"/>
    <cellStyle name="Normal 4 4 3 9 3" xfId="21651" xr:uid="{433B9305-581A-4B84-9CEC-DD0CA65A0879}"/>
    <cellStyle name="Normal 4 4 4" xfId="391" xr:uid="{00000000-0005-0000-0000-0000B4150000}"/>
    <cellStyle name="Normal 4 4 4 10" xfId="17438" xr:uid="{A1E46ADA-6A25-4FDB-BE3D-6A11942B65B2}"/>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2CF19A9B-CC0F-4B5E-8567-016A59E9D42A}"/>
    <cellStyle name="Normal 4 4 4 2 2 2 2 3" xfId="24214" xr:uid="{2575C828-C788-40D8-B8DD-17A8967D730B}"/>
    <cellStyle name="Normal 4 4 4 2 2 2 3" xfId="11556" xr:uid="{3978F1CA-BE6B-4DFA-836E-17BD3002BE52}"/>
    <cellStyle name="Normal 4 4 4 2 2 2 4" xfId="19997" xr:uid="{B43EF4EA-79BE-4466-AD44-1DB9B6C29104}"/>
    <cellStyle name="Normal 4 4 4 2 2 3" xfId="5179" xr:uid="{00000000-0005-0000-0000-0000B9150000}"/>
    <cellStyle name="Normal 4 4 4 2 2 3 2" xfId="13629" xr:uid="{7B2AB550-880D-4D23-911D-379C97D75229}"/>
    <cellStyle name="Normal 4 4 4 2 2 3 3" xfId="22069" xr:uid="{5F8A072D-EC5A-4664-8B40-546E19BB8FA0}"/>
    <cellStyle name="Normal 4 4 4 2 2 4" xfId="9411" xr:uid="{5B95D861-812E-4455-8BBB-0FB6D3C60196}"/>
    <cellStyle name="Normal 4 4 4 2 2 5" xfId="17852" xr:uid="{98281B75-3641-434F-A9D4-97B4541ACF8B}"/>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5ED26E01-8088-4C99-A9CB-DA9483FC52F9}"/>
    <cellStyle name="Normal 4 4 4 2 3 2 2 3" xfId="24627" xr:uid="{7C70C46F-53D6-4C0E-9AB5-FF1BB6100DEB}"/>
    <cellStyle name="Normal 4 4 4 2 3 2 3" xfId="11969" xr:uid="{4A5FA477-485D-47A0-B828-2FFC5F55CFE7}"/>
    <cellStyle name="Normal 4 4 4 2 3 2 4" xfId="20410" xr:uid="{45754D8E-A6FB-4A1D-BD61-4B46CEE029E6}"/>
    <cellStyle name="Normal 4 4 4 2 3 3" xfId="5592" xr:uid="{00000000-0005-0000-0000-0000BD150000}"/>
    <cellStyle name="Normal 4 4 4 2 3 3 2" xfId="14042" xr:uid="{7EAE519D-D227-4149-AEAF-FE40E6C1046E}"/>
    <cellStyle name="Normal 4 4 4 2 3 3 3" xfId="22482" xr:uid="{BE7EC386-9DDB-48EB-B6C7-B228DADCC9A5}"/>
    <cellStyle name="Normal 4 4 4 2 3 4" xfId="9824" xr:uid="{58EF9E60-3D2A-42F1-AA54-EF6FC9B37E41}"/>
    <cellStyle name="Normal 4 4 4 2 3 5" xfId="18265" xr:uid="{A90DE7F8-BFE8-4B57-9222-52D41A938FC7}"/>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8FA58DF3-950D-4B60-816B-1666D1B5F59D}"/>
    <cellStyle name="Normal 4 4 4 2 4 2 2 3" xfId="25040" xr:uid="{FE699BBB-C552-401D-B782-C24816323B82}"/>
    <cellStyle name="Normal 4 4 4 2 4 2 3" xfId="12382" xr:uid="{78EA7BBB-3BA8-42FA-9C71-F01D9162A493}"/>
    <cellStyle name="Normal 4 4 4 2 4 2 4" xfId="20823" xr:uid="{D2601721-AF7D-4C19-AB35-D0A53F08821D}"/>
    <cellStyle name="Normal 4 4 4 2 4 3" xfId="6005" xr:uid="{00000000-0005-0000-0000-0000C1150000}"/>
    <cellStyle name="Normal 4 4 4 2 4 3 2" xfId="14455" xr:uid="{7941F0E6-351D-4CF5-A0A9-CBBDE6F10829}"/>
    <cellStyle name="Normal 4 4 4 2 4 3 3" xfId="22895" xr:uid="{CA65F1D0-ABAF-427E-997E-472BF41EDD07}"/>
    <cellStyle name="Normal 4 4 4 2 4 4" xfId="10237" xr:uid="{76E7823A-139F-470C-BFD3-8267D921D843}"/>
    <cellStyle name="Normal 4 4 4 2 4 5" xfId="18678" xr:uid="{20827F41-B48B-40D6-AA26-7AF26EEB604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4EAC31B0-EB24-4E0D-8831-4BF6B2BB23F3}"/>
    <cellStyle name="Normal 4 4 4 2 5 2 2 3" xfId="25453" xr:uid="{15E8DEF6-5FBB-4B77-A470-D6DA1F634B45}"/>
    <cellStyle name="Normal 4 4 4 2 5 2 3" xfId="12795" xr:uid="{73411FA1-6F62-4B9C-8777-1672D137E6E4}"/>
    <cellStyle name="Normal 4 4 4 2 5 2 4" xfId="21236" xr:uid="{598B1B04-CA7B-4803-A7B4-2EFAB3C7DAFA}"/>
    <cellStyle name="Normal 4 4 4 2 5 3" xfId="6418" xr:uid="{00000000-0005-0000-0000-0000C5150000}"/>
    <cellStyle name="Normal 4 4 4 2 5 3 2" xfId="14868" xr:uid="{1FF0BD25-03C3-4A23-B58B-B43C9BBAF593}"/>
    <cellStyle name="Normal 4 4 4 2 5 3 3" xfId="23308" xr:uid="{8AB0A121-636E-4BA7-9217-AAA2AA6F3640}"/>
    <cellStyle name="Normal 4 4 4 2 5 4" xfId="10650" xr:uid="{8B96331F-47FF-46B8-A3BC-27763B52A7A6}"/>
    <cellStyle name="Normal 4 4 4 2 5 5" xfId="19091" xr:uid="{A018CCF9-747D-48F8-9364-25E90FAF02BC}"/>
    <cellStyle name="Normal 4 4 4 2 6" xfId="2548" xr:uid="{00000000-0005-0000-0000-0000C6150000}"/>
    <cellStyle name="Normal 4 4 4 2 6 2" xfId="6831" xr:uid="{00000000-0005-0000-0000-0000C7150000}"/>
    <cellStyle name="Normal 4 4 4 2 6 2 2" xfId="15281" xr:uid="{80A9D24C-7D50-466B-9ECE-23FE71453FC0}"/>
    <cellStyle name="Normal 4 4 4 2 6 2 3" xfId="23721" xr:uid="{AE496FBD-8C2E-49C0-92FC-4D27456D6B7F}"/>
    <cellStyle name="Normal 4 4 4 2 6 3" xfId="11063" xr:uid="{54A1B41C-ACEA-46E2-B72C-F94F77F0C85E}"/>
    <cellStyle name="Normal 4 4 4 2 6 4" xfId="19504" xr:uid="{C0252B44-6DB2-4E87-AE1D-3EA4D107E7F9}"/>
    <cellStyle name="Normal 4 4 4 2 7" xfId="4766" xr:uid="{00000000-0005-0000-0000-0000C8150000}"/>
    <cellStyle name="Normal 4 4 4 2 7 2" xfId="13216" xr:uid="{4397DB57-1CF2-4D5A-A041-8807265D2B9A}"/>
    <cellStyle name="Normal 4 4 4 2 7 3" xfId="21656" xr:uid="{04E749F4-12F6-4537-9A14-9E4C66718990}"/>
    <cellStyle name="Normal 4 4 4 2 8" xfId="8998" xr:uid="{0E782D68-0244-4DF6-9D3D-E83B57CEC99E}"/>
    <cellStyle name="Normal 4 4 4 2 9" xfId="17439" xr:uid="{632FAF46-834C-4ABD-9B35-4F192FB4AE43}"/>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77E13118-0E94-4B22-8314-6E9885228337}"/>
    <cellStyle name="Normal 4 4 4 3 2 2 3" xfId="24213" xr:uid="{B9180CFD-D468-42E5-9AF0-DE0F4BC52867}"/>
    <cellStyle name="Normal 4 4 4 3 2 3" xfId="11555" xr:uid="{613986FC-E5F2-47A3-89AB-251A812C4065}"/>
    <cellStyle name="Normal 4 4 4 3 2 4" xfId="19996" xr:uid="{34BEBA20-F610-4527-B52E-9730EE76A0B8}"/>
    <cellStyle name="Normal 4 4 4 3 3" xfId="5178" xr:uid="{00000000-0005-0000-0000-0000CC150000}"/>
    <cellStyle name="Normal 4 4 4 3 3 2" xfId="13628" xr:uid="{26CFF39B-536F-4F07-8EF2-22404C15078B}"/>
    <cellStyle name="Normal 4 4 4 3 3 3" xfId="22068" xr:uid="{67DE75EA-2E08-4922-90D5-134BF887D04A}"/>
    <cellStyle name="Normal 4 4 4 3 4" xfId="9410" xr:uid="{4AE08D32-C536-4998-B18B-9EEA5042851D}"/>
    <cellStyle name="Normal 4 4 4 3 5" xfId="17851" xr:uid="{85530D75-558B-4D98-A6E9-545DAE5E91AA}"/>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7889C1B4-9633-477F-9C27-90BF5D2E3581}"/>
    <cellStyle name="Normal 4 4 4 4 2 2 3" xfId="24626" xr:uid="{E9CE1EB1-8156-4160-8E24-6ED8A06D51B0}"/>
    <cellStyle name="Normal 4 4 4 4 2 3" xfId="11968" xr:uid="{1863A8DF-8807-43FC-B6DC-DDDBA56B1140}"/>
    <cellStyle name="Normal 4 4 4 4 2 4" xfId="20409" xr:uid="{AFA11D83-2989-4850-90C7-D706DAC91F73}"/>
    <cellStyle name="Normal 4 4 4 4 3" xfId="5591" xr:uid="{00000000-0005-0000-0000-0000D0150000}"/>
    <cellStyle name="Normal 4 4 4 4 3 2" xfId="14041" xr:uid="{09C7AADC-EE40-4E8B-9F30-720C044F56DB}"/>
    <cellStyle name="Normal 4 4 4 4 3 3" xfId="22481" xr:uid="{71146119-1EED-4FAA-BD39-26A18F8AFC91}"/>
    <cellStyle name="Normal 4 4 4 4 4" xfId="9823" xr:uid="{AA1BEFA8-C814-4C63-8BD9-9FF5AC0B8F5D}"/>
    <cellStyle name="Normal 4 4 4 4 5" xfId="18264" xr:uid="{A9A9F4ED-516C-4994-95A0-F650F86F4550}"/>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BD603657-6F72-4B7A-9942-E8EFD38E559A}"/>
    <cellStyle name="Normal 4 4 4 5 2 2 3" xfId="25039" xr:uid="{CA3EA3D8-C1EB-4733-9480-41BD57825B42}"/>
    <cellStyle name="Normal 4 4 4 5 2 3" xfId="12381" xr:uid="{7C53D1E6-3EAE-498C-A9B4-ED2ED22902B3}"/>
    <cellStyle name="Normal 4 4 4 5 2 4" xfId="20822" xr:uid="{66AECBAE-7A29-4C84-B72C-91A1E8FC18FA}"/>
    <cellStyle name="Normal 4 4 4 5 3" xfId="6004" xr:uid="{00000000-0005-0000-0000-0000D4150000}"/>
    <cellStyle name="Normal 4 4 4 5 3 2" xfId="14454" xr:uid="{B49B4728-97C8-497B-91E2-1D968845B57D}"/>
    <cellStyle name="Normal 4 4 4 5 3 3" xfId="22894" xr:uid="{606142F8-7315-4F18-A15A-E0499D003168}"/>
    <cellStyle name="Normal 4 4 4 5 4" xfId="10236" xr:uid="{AC7A4298-6E5C-4657-BAFF-5F301E780836}"/>
    <cellStyle name="Normal 4 4 4 5 5" xfId="18677" xr:uid="{3E818C27-AC6E-4357-8A1A-44D3A5DCA899}"/>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42B1E3BA-31C0-4776-94FF-214D8B8CF61F}"/>
    <cellStyle name="Normal 4 4 4 6 2 2 3" xfId="25452" xr:uid="{DCA72A6C-139A-4052-83F8-C86680CC0453}"/>
    <cellStyle name="Normal 4 4 4 6 2 3" xfId="12794" xr:uid="{70013A9B-DA97-42A3-B9C7-B55DC60F5409}"/>
    <cellStyle name="Normal 4 4 4 6 2 4" xfId="21235" xr:uid="{92FE82FA-5868-49F1-A693-4736CC9B56C8}"/>
    <cellStyle name="Normal 4 4 4 6 3" xfId="6417" xr:uid="{00000000-0005-0000-0000-0000D8150000}"/>
    <cellStyle name="Normal 4 4 4 6 3 2" xfId="14867" xr:uid="{021BDC8E-286F-49EA-B6C7-36E333062855}"/>
    <cellStyle name="Normal 4 4 4 6 3 3" xfId="23307" xr:uid="{7F4E5388-DAF8-4222-8FEA-0362781CA3FD}"/>
    <cellStyle name="Normal 4 4 4 6 4" xfId="10649" xr:uid="{C01CB379-D85F-4CE4-ABFA-61DF56EA470C}"/>
    <cellStyle name="Normal 4 4 4 6 5" xfId="19090" xr:uid="{5F702633-2921-48A5-BCA1-6B98B1A62D92}"/>
    <cellStyle name="Normal 4 4 4 7" xfId="2547" xr:uid="{00000000-0005-0000-0000-0000D9150000}"/>
    <cellStyle name="Normal 4 4 4 7 2" xfId="6830" xr:uid="{00000000-0005-0000-0000-0000DA150000}"/>
    <cellStyle name="Normal 4 4 4 7 2 2" xfId="15280" xr:uid="{4F551C83-354E-405F-8D9D-DB77C4F358B2}"/>
    <cellStyle name="Normal 4 4 4 7 2 3" xfId="23720" xr:uid="{1A312A2A-1C6D-40EA-AA11-20212C1D703F}"/>
    <cellStyle name="Normal 4 4 4 7 3" xfId="11062" xr:uid="{023B8D17-37D9-441F-B7A6-AE8A63BE95E3}"/>
    <cellStyle name="Normal 4 4 4 7 4" xfId="19503" xr:uid="{3C98A403-F683-49EE-8851-D332CE11FF3B}"/>
    <cellStyle name="Normal 4 4 4 8" xfId="4765" xr:uid="{00000000-0005-0000-0000-0000DB150000}"/>
    <cellStyle name="Normal 4 4 4 8 2" xfId="13215" xr:uid="{4A2C30B4-75EA-48B5-849E-DA7107DF8866}"/>
    <cellStyle name="Normal 4 4 4 8 3" xfId="21655" xr:uid="{2345E303-DFAB-4BEC-BFFD-FD516F93FD5D}"/>
    <cellStyle name="Normal 4 4 4 9" xfId="8997" xr:uid="{DDC4BB61-8F81-405A-AFBC-F4524D3BFC3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A0538736-788A-4AAC-A9D3-FE62B02EC85B}"/>
    <cellStyle name="Normal 4 4 5 2 2 2 3" xfId="24215" xr:uid="{EF1D10D7-3562-4BFE-BD42-0F022BBCBD50}"/>
    <cellStyle name="Normal 4 4 5 2 2 3" xfId="11557" xr:uid="{FE603C1F-89C7-4C00-AA3A-EDAE603D2AC3}"/>
    <cellStyle name="Normal 4 4 5 2 2 4" xfId="19998" xr:uid="{123FD8F0-0FB8-42E1-A94B-A6AA7886A826}"/>
    <cellStyle name="Normal 4 4 5 2 3" xfId="5180" xr:uid="{00000000-0005-0000-0000-0000E0150000}"/>
    <cellStyle name="Normal 4 4 5 2 3 2" xfId="13630" xr:uid="{E8BF7FC5-3839-455A-9FFD-2C80CB70B2A3}"/>
    <cellStyle name="Normal 4 4 5 2 3 3" xfId="22070" xr:uid="{3D5C946F-06A3-4855-AE2B-3DE2489C4149}"/>
    <cellStyle name="Normal 4 4 5 2 4" xfId="9412" xr:uid="{B7C25A0D-F108-49CC-A9C5-44FC48F46997}"/>
    <cellStyle name="Normal 4 4 5 2 5" xfId="17853" xr:uid="{2BB3C7FE-E327-474C-8929-0D487DD43187}"/>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F9E0D636-6B3B-4117-82E3-900D597AA9D1}"/>
    <cellStyle name="Normal 4 4 5 3 2 2 3" xfId="24628" xr:uid="{F7A4DE3F-EDB7-49DB-B4EE-4C3516D34DC1}"/>
    <cellStyle name="Normal 4 4 5 3 2 3" xfId="11970" xr:uid="{0D5494AC-A3E0-4F6A-9C1A-74B456A63B18}"/>
    <cellStyle name="Normal 4 4 5 3 2 4" xfId="20411" xr:uid="{EA9E5D3B-4DB6-4173-AA3B-BC6FCC7E362F}"/>
    <cellStyle name="Normal 4 4 5 3 3" xfId="5593" xr:uid="{00000000-0005-0000-0000-0000E4150000}"/>
    <cellStyle name="Normal 4 4 5 3 3 2" xfId="14043" xr:uid="{55BE508A-866F-4082-B310-11A884D444B8}"/>
    <cellStyle name="Normal 4 4 5 3 3 3" xfId="22483" xr:uid="{93FD4518-AF3F-4911-8CBD-7FB0624F9E73}"/>
    <cellStyle name="Normal 4 4 5 3 4" xfId="9825" xr:uid="{FF74B996-9243-4DBF-8CB5-9992DEA6405E}"/>
    <cellStyle name="Normal 4 4 5 3 5" xfId="18266" xr:uid="{1E4ECF9E-B1A1-46D7-8892-294CEE3051F1}"/>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F06CD3FA-6FFD-49D6-85FA-E126F50A2C4D}"/>
    <cellStyle name="Normal 4 4 5 4 2 2 3" xfId="25041" xr:uid="{E563BC34-5282-4308-AD5E-6CA942188DDF}"/>
    <cellStyle name="Normal 4 4 5 4 2 3" xfId="12383" xr:uid="{2EA732AE-D8DD-4DE1-83F8-3E460A224861}"/>
    <cellStyle name="Normal 4 4 5 4 2 4" xfId="20824" xr:uid="{CC77FB9E-280F-4713-80DF-CEC080A8E7AD}"/>
    <cellStyle name="Normal 4 4 5 4 3" xfId="6006" xr:uid="{00000000-0005-0000-0000-0000E8150000}"/>
    <cellStyle name="Normal 4 4 5 4 3 2" xfId="14456" xr:uid="{A8DC8E79-4E9E-4761-813E-880202130116}"/>
    <cellStyle name="Normal 4 4 5 4 3 3" xfId="22896" xr:uid="{591C34CA-FA60-4F4B-919C-6A1E182C152E}"/>
    <cellStyle name="Normal 4 4 5 4 4" xfId="10238" xr:uid="{55B1F78E-111A-414B-8C54-8C4C2F6FB5AD}"/>
    <cellStyle name="Normal 4 4 5 4 5" xfId="18679" xr:uid="{B94997C2-3176-4D18-B067-B5EC72E9163C}"/>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BB3C6800-FAED-4919-B0B6-DBA7232BA3D2}"/>
    <cellStyle name="Normal 4 4 5 5 2 2 3" xfId="25454" xr:uid="{6CCDDBFE-EA39-4FDA-9A04-C0B732D7B8A2}"/>
    <cellStyle name="Normal 4 4 5 5 2 3" xfId="12796" xr:uid="{1B0C3876-8B53-45BC-8702-C9577CEB5E06}"/>
    <cellStyle name="Normal 4 4 5 5 2 4" xfId="21237" xr:uid="{2F52A812-7B56-45CE-A7B1-EF73915E991F}"/>
    <cellStyle name="Normal 4 4 5 5 3" xfId="6419" xr:uid="{00000000-0005-0000-0000-0000EC150000}"/>
    <cellStyle name="Normal 4 4 5 5 3 2" xfId="14869" xr:uid="{1F60FC80-620A-4949-A35F-407C2C3BEEC4}"/>
    <cellStyle name="Normal 4 4 5 5 3 3" xfId="23309" xr:uid="{FF7E74AD-8A03-49CB-9D9C-6A58A06B996F}"/>
    <cellStyle name="Normal 4 4 5 5 4" xfId="10651" xr:uid="{EE81E7CA-A16A-452C-9D4C-8818C4AA795A}"/>
    <cellStyle name="Normal 4 4 5 5 5" xfId="19092" xr:uid="{40048103-F830-49DD-BD19-EFEE7D871F4F}"/>
    <cellStyle name="Normal 4 4 5 6" xfId="2549" xr:uid="{00000000-0005-0000-0000-0000ED150000}"/>
    <cellStyle name="Normal 4 4 5 6 2" xfId="6832" xr:uid="{00000000-0005-0000-0000-0000EE150000}"/>
    <cellStyle name="Normal 4 4 5 6 2 2" xfId="15282" xr:uid="{A2F749E2-A086-4EDE-AC23-86631142F800}"/>
    <cellStyle name="Normal 4 4 5 6 2 3" xfId="23722" xr:uid="{5792B80C-B5E2-4FC1-8AE3-166DCF9FB9DA}"/>
    <cellStyle name="Normal 4 4 5 6 3" xfId="11064" xr:uid="{F9A0C48C-2B36-448C-BEB9-55367F5B5D20}"/>
    <cellStyle name="Normal 4 4 5 6 4" xfId="19505" xr:uid="{88C7FBDC-A0E7-4FDA-B2C5-379DBD6B2104}"/>
    <cellStyle name="Normal 4 4 5 7" xfId="4767" xr:uid="{00000000-0005-0000-0000-0000EF150000}"/>
    <cellStyle name="Normal 4 4 5 7 2" xfId="13217" xr:uid="{21B8A3DE-B5D8-43F4-B07B-ED82D93DEDF8}"/>
    <cellStyle name="Normal 4 4 5 7 3" xfId="21657" xr:uid="{109113B8-4991-4D4D-87E7-35C875F381F7}"/>
    <cellStyle name="Normal 4 4 5 8" xfId="8999" xr:uid="{ED4EBDAB-005F-4C66-9C5F-B6A4A583C05E}"/>
    <cellStyle name="Normal 4 4 5 9" xfId="17440" xr:uid="{02E2543C-285B-4ED0-B673-C5C4BC03DD5C}"/>
    <cellStyle name="Normal 4 4 6" xfId="853" xr:uid="{00000000-0005-0000-0000-0000F0150000}"/>
    <cellStyle name="Normal 4 4 6 2" xfId="3088" xr:uid="{00000000-0005-0000-0000-0000F1150000}"/>
    <cellStyle name="Normal 4 4 6 2 2" xfId="7310" xr:uid="{00000000-0005-0000-0000-0000F2150000}"/>
    <cellStyle name="Normal 4 4 6 2 2 2" xfId="15760" xr:uid="{07469D0C-612A-4DE9-8970-7F5D6ABD4005}"/>
    <cellStyle name="Normal 4 4 6 2 2 3" xfId="24200" xr:uid="{60011DDE-FA06-424E-97E0-F748B37AFF4C}"/>
    <cellStyle name="Normal 4 4 6 2 3" xfId="11542" xr:uid="{825D4D34-129A-458C-84E4-2CF7B7C7D8C8}"/>
    <cellStyle name="Normal 4 4 6 2 4" xfId="19983" xr:uid="{86BFA777-AA49-4C95-84BA-2E6050C11999}"/>
    <cellStyle name="Normal 4 4 6 3" xfId="5165" xr:uid="{00000000-0005-0000-0000-0000F3150000}"/>
    <cellStyle name="Normal 4 4 6 3 2" xfId="13615" xr:uid="{B77DDA72-8BB1-408B-A634-7A88D096AADB}"/>
    <cellStyle name="Normal 4 4 6 3 3" xfId="22055" xr:uid="{D7710DBC-9A47-4D6E-94AF-2786522F401A}"/>
    <cellStyle name="Normal 4 4 6 4" xfId="9397" xr:uid="{6CBD4219-DAE0-4A95-8B0C-53A93D4B875F}"/>
    <cellStyle name="Normal 4 4 6 5" xfId="17838" xr:uid="{F1B73A6A-DB4C-438D-8C6F-8DBEAE781412}"/>
    <cellStyle name="Normal 4 4 7" xfId="1271" xr:uid="{00000000-0005-0000-0000-0000F4150000}"/>
    <cellStyle name="Normal 4 4 7 2" xfId="3501" xr:uid="{00000000-0005-0000-0000-0000F5150000}"/>
    <cellStyle name="Normal 4 4 7 2 2" xfId="7723" xr:uid="{00000000-0005-0000-0000-0000F6150000}"/>
    <cellStyle name="Normal 4 4 7 2 2 2" xfId="16173" xr:uid="{E4D68663-4A29-4807-B265-5A7A3CEC0762}"/>
    <cellStyle name="Normal 4 4 7 2 2 3" xfId="24613" xr:uid="{3B1DABB6-C204-41F0-A8C3-B23BD2AF86E9}"/>
    <cellStyle name="Normal 4 4 7 2 3" xfId="11955" xr:uid="{16E4DC73-F87B-4ABA-8118-8652EE09F979}"/>
    <cellStyle name="Normal 4 4 7 2 4" xfId="20396" xr:uid="{F0D871F5-C164-498A-811C-CEE9140CFCDC}"/>
    <cellStyle name="Normal 4 4 7 3" xfId="5578" xr:uid="{00000000-0005-0000-0000-0000F7150000}"/>
    <cellStyle name="Normal 4 4 7 3 2" xfId="14028" xr:uid="{CA8A494F-F45B-4CDE-BD1F-D244B11427B6}"/>
    <cellStyle name="Normal 4 4 7 3 3" xfId="22468" xr:uid="{E9419299-5B73-428C-80AC-2492FC7C5297}"/>
    <cellStyle name="Normal 4 4 7 4" xfId="9810" xr:uid="{D152EF53-CD9C-4D96-9EBA-F8B7AF270D8D}"/>
    <cellStyle name="Normal 4 4 7 5" xfId="18251" xr:uid="{D65E9627-FF6B-4EFC-8103-838C859B976D}"/>
    <cellStyle name="Normal 4 4 8" xfId="1684" xr:uid="{00000000-0005-0000-0000-0000F8150000}"/>
    <cellStyle name="Normal 4 4 8 2" xfId="3914" xr:uid="{00000000-0005-0000-0000-0000F9150000}"/>
    <cellStyle name="Normal 4 4 8 2 2" xfId="8136" xr:uid="{00000000-0005-0000-0000-0000FA150000}"/>
    <cellStyle name="Normal 4 4 8 2 2 2" xfId="16586" xr:uid="{F44C11E6-0EE1-4E1F-8F5C-F28DB2357459}"/>
    <cellStyle name="Normal 4 4 8 2 2 3" xfId="25026" xr:uid="{6DBB8A9A-7A0E-4ED2-8026-5148005ADFA2}"/>
    <cellStyle name="Normal 4 4 8 2 3" xfId="12368" xr:uid="{E6F440C8-4BB1-4BAC-9F6F-9A35D6D91878}"/>
    <cellStyle name="Normal 4 4 8 2 4" xfId="20809" xr:uid="{A2FF98F0-03D8-4516-ACBD-A6BDC803D370}"/>
    <cellStyle name="Normal 4 4 8 3" xfId="5991" xr:uid="{00000000-0005-0000-0000-0000FB150000}"/>
    <cellStyle name="Normal 4 4 8 3 2" xfId="14441" xr:uid="{C28228FE-14D0-44C2-91AA-7A0C683689A3}"/>
    <cellStyle name="Normal 4 4 8 3 3" xfId="22881" xr:uid="{E1350B21-5DFB-4955-92E1-80C54F2B357D}"/>
    <cellStyle name="Normal 4 4 8 4" xfId="10223" xr:uid="{93BEE614-C7BA-435B-BE3A-CCA20E712F01}"/>
    <cellStyle name="Normal 4 4 8 5" xfId="18664" xr:uid="{61F881F3-6290-4078-A321-5483A89F06E2}"/>
    <cellStyle name="Normal 4 4 9" xfId="2098" xr:uid="{00000000-0005-0000-0000-0000FC150000}"/>
    <cellStyle name="Normal 4 4 9 2" xfId="4327" xr:uid="{00000000-0005-0000-0000-0000FD150000}"/>
    <cellStyle name="Normal 4 4 9 2 2" xfId="8549" xr:uid="{00000000-0005-0000-0000-0000FE150000}"/>
    <cellStyle name="Normal 4 4 9 2 2 2" xfId="16999" xr:uid="{9315FE4C-8C4A-4DD5-A1DF-25B28D7156D1}"/>
    <cellStyle name="Normal 4 4 9 2 2 3" xfId="25439" xr:uid="{B297FE1B-6AF5-4050-94DA-F61AF2FA8D1C}"/>
    <cellStyle name="Normal 4 4 9 2 3" xfId="12781" xr:uid="{EC4DABED-F985-4752-97FF-E36299200C79}"/>
    <cellStyle name="Normal 4 4 9 2 4" xfId="21222" xr:uid="{0F0FBD47-EA81-4FA3-8D94-FB2FCC346B70}"/>
    <cellStyle name="Normal 4 4 9 3" xfId="6404" xr:uid="{00000000-0005-0000-0000-0000FF150000}"/>
    <cellStyle name="Normal 4 4 9 3 2" xfId="14854" xr:uid="{6B677882-76D0-4C3D-9DAB-19258964FBBD}"/>
    <cellStyle name="Normal 4 4 9 3 3" xfId="23294" xr:uid="{F23B954E-C101-4054-AB2C-D2D1EAB497FB}"/>
    <cellStyle name="Normal 4 4 9 4" xfId="10636" xr:uid="{550C8153-B6BE-415A-80CD-C4908DBF9A2B}"/>
    <cellStyle name="Normal 4 4 9 5" xfId="19077" xr:uid="{C733B6EC-DD0B-4146-86D3-608A2F42376D}"/>
    <cellStyle name="Normal 4 5" xfId="394" xr:uid="{00000000-0005-0000-0000-000000160000}"/>
    <cellStyle name="Normal 4 6" xfId="395" xr:uid="{00000000-0005-0000-0000-000001160000}"/>
    <cellStyle name="Normal 4 6 10" xfId="4768" xr:uid="{00000000-0005-0000-0000-000002160000}"/>
    <cellStyle name="Normal 4 6 10 2" xfId="13218" xr:uid="{C8378FD1-F646-447C-A662-D9566879E88B}"/>
    <cellStyle name="Normal 4 6 10 3" xfId="21658" xr:uid="{E5830661-C975-4F2D-90FB-BB82598E2706}"/>
    <cellStyle name="Normal 4 6 11" xfId="9000" xr:uid="{DB6F0BFC-2080-4DF1-B883-B6E1B3FFAAFC}"/>
    <cellStyle name="Normal 4 6 12" xfId="17441" xr:uid="{B199C796-57CB-4963-992C-AF9997642131}"/>
    <cellStyle name="Normal 4 6 2" xfId="396" xr:uid="{00000000-0005-0000-0000-000003160000}"/>
    <cellStyle name="Normal 4 6 2 10" xfId="9001" xr:uid="{FA403DEF-DC7B-4774-8704-D277A02785D0}"/>
    <cellStyle name="Normal 4 6 2 11" xfId="17442" xr:uid="{CC7DC3B7-A76D-4117-95D4-64D6A14BB9EE}"/>
    <cellStyle name="Normal 4 6 2 2" xfId="397" xr:uid="{00000000-0005-0000-0000-000004160000}"/>
    <cellStyle name="Normal 4 6 2 2 10" xfId="17443" xr:uid="{542CC760-6A35-44F8-86C5-0B6541690A77}"/>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71E1E75A-3B0D-4E1B-8339-86CEFC57BED1}"/>
    <cellStyle name="Normal 4 6 2 2 2 2 2 2 3" xfId="24219" xr:uid="{F998EDA2-8E55-4FE0-9833-D69400A5796F}"/>
    <cellStyle name="Normal 4 6 2 2 2 2 2 3" xfId="11561" xr:uid="{51F391E0-9BF8-449B-896D-611356859E1A}"/>
    <cellStyle name="Normal 4 6 2 2 2 2 2 4" xfId="20002" xr:uid="{0A9EBD60-6AC0-4F5A-948F-AF926F299D09}"/>
    <cellStyle name="Normal 4 6 2 2 2 2 3" xfId="5184" xr:uid="{00000000-0005-0000-0000-000009160000}"/>
    <cellStyle name="Normal 4 6 2 2 2 2 3 2" xfId="13634" xr:uid="{66DDF6DB-6AB1-4B66-AD42-825D0E3848CE}"/>
    <cellStyle name="Normal 4 6 2 2 2 2 3 3" xfId="22074" xr:uid="{5A434866-A666-4F8C-9F78-76DCBA260D07}"/>
    <cellStyle name="Normal 4 6 2 2 2 2 4" xfId="9416" xr:uid="{3AE05F18-0FF9-44A1-8FFF-C955C79DA3BA}"/>
    <cellStyle name="Normal 4 6 2 2 2 2 5" xfId="17857" xr:uid="{D4262207-D8D7-4F82-B923-BCDBBC03AD4A}"/>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33F2EDE5-A430-4121-A4F7-2211E3EFC7F0}"/>
    <cellStyle name="Normal 4 6 2 2 2 3 2 2 3" xfId="24632" xr:uid="{0C036E57-8E8B-4FD8-BEF2-CA1612A18D40}"/>
    <cellStyle name="Normal 4 6 2 2 2 3 2 3" xfId="11974" xr:uid="{2B5E7F06-4999-4359-83B9-C11ACFA79F76}"/>
    <cellStyle name="Normal 4 6 2 2 2 3 2 4" xfId="20415" xr:uid="{E5CDF3FF-0C92-44C4-BFCF-0FDD9CDE3258}"/>
    <cellStyle name="Normal 4 6 2 2 2 3 3" xfId="5597" xr:uid="{00000000-0005-0000-0000-00000D160000}"/>
    <cellStyle name="Normal 4 6 2 2 2 3 3 2" xfId="14047" xr:uid="{B6FC438E-941A-4761-B78B-03DA8586698E}"/>
    <cellStyle name="Normal 4 6 2 2 2 3 3 3" xfId="22487" xr:uid="{76DC2AD6-F27A-4024-8746-843285B211E9}"/>
    <cellStyle name="Normal 4 6 2 2 2 3 4" xfId="9829" xr:uid="{DE69E0A1-73D6-4C27-93BF-8A00A097A242}"/>
    <cellStyle name="Normal 4 6 2 2 2 3 5" xfId="18270" xr:uid="{8405EEA2-C2C6-4CD4-B616-B7EE9538FC7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AA2C38BD-88E3-431F-ABC9-CCD4BBCF62F2}"/>
    <cellStyle name="Normal 4 6 2 2 2 4 2 2 3" xfId="25045" xr:uid="{CCE1E611-8DE2-4205-BF90-614F0FCBD6B6}"/>
    <cellStyle name="Normal 4 6 2 2 2 4 2 3" xfId="12387" xr:uid="{9F97187D-7884-425E-B07E-9FDE2058E329}"/>
    <cellStyle name="Normal 4 6 2 2 2 4 2 4" xfId="20828" xr:uid="{E37904D4-3000-4737-9A7A-FFADAD717A0B}"/>
    <cellStyle name="Normal 4 6 2 2 2 4 3" xfId="6010" xr:uid="{00000000-0005-0000-0000-000011160000}"/>
    <cellStyle name="Normal 4 6 2 2 2 4 3 2" xfId="14460" xr:uid="{D492D3F9-7DE6-4292-8501-23738E73AD81}"/>
    <cellStyle name="Normal 4 6 2 2 2 4 3 3" xfId="22900" xr:uid="{1FB28ADA-2C95-437E-BB83-4B8122FCCB76}"/>
    <cellStyle name="Normal 4 6 2 2 2 4 4" xfId="10242" xr:uid="{B2C52952-15A6-4B0D-8A86-5C8A72AB2FD3}"/>
    <cellStyle name="Normal 4 6 2 2 2 4 5" xfId="18683" xr:uid="{3B81DE05-565F-4062-AC98-80BA08D9DC49}"/>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A7A3699F-F4AC-4430-B9C9-4EF050534C0E}"/>
    <cellStyle name="Normal 4 6 2 2 2 5 2 2 3" xfId="25458" xr:uid="{A5F8E2D0-2CDF-4551-93D3-C92A4D3D5B18}"/>
    <cellStyle name="Normal 4 6 2 2 2 5 2 3" xfId="12800" xr:uid="{2A0FC345-EF44-47E6-AA25-F6F986C2A094}"/>
    <cellStyle name="Normal 4 6 2 2 2 5 2 4" xfId="21241" xr:uid="{D1DD3BC6-5E83-49E1-9F6C-6291BA37DBB5}"/>
    <cellStyle name="Normal 4 6 2 2 2 5 3" xfId="6423" xr:uid="{00000000-0005-0000-0000-000015160000}"/>
    <cellStyle name="Normal 4 6 2 2 2 5 3 2" xfId="14873" xr:uid="{5D627F47-5DFB-410B-A640-012416340D94}"/>
    <cellStyle name="Normal 4 6 2 2 2 5 3 3" xfId="23313" xr:uid="{34CA81A1-3D6C-4E54-91A9-DDBE49AC1395}"/>
    <cellStyle name="Normal 4 6 2 2 2 5 4" xfId="10655" xr:uid="{96EC038E-1397-4E58-9951-353F1B7F2335}"/>
    <cellStyle name="Normal 4 6 2 2 2 5 5" xfId="19096" xr:uid="{D5B7810E-CEAD-48E5-ABF5-2EB19BDE28E4}"/>
    <cellStyle name="Normal 4 6 2 2 2 6" xfId="2553" xr:uid="{00000000-0005-0000-0000-000016160000}"/>
    <cellStyle name="Normal 4 6 2 2 2 6 2" xfId="6836" xr:uid="{00000000-0005-0000-0000-000017160000}"/>
    <cellStyle name="Normal 4 6 2 2 2 6 2 2" xfId="15286" xr:uid="{CE5D5322-3752-4761-BEA1-11FF9A9CC5C5}"/>
    <cellStyle name="Normal 4 6 2 2 2 6 2 3" xfId="23726" xr:uid="{86C3D7C1-6D6C-42F1-947F-90500099A591}"/>
    <cellStyle name="Normal 4 6 2 2 2 6 3" xfId="11068" xr:uid="{51B398E9-1BA2-4FA3-B7C7-A47EC8EF3EB1}"/>
    <cellStyle name="Normal 4 6 2 2 2 6 4" xfId="19509" xr:uid="{5DDD5C80-8B99-48B0-9C29-DA4FF2E788F7}"/>
    <cellStyle name="Normal 4 6 2 2 2 7" xfId="4771" xr:uid="{00000000-0005-0000-0000-000018160000}"/>
    <cellStyle name="Normal 4 6 2 2 2 7 2" xfId="13221" xr:uid="{0792C6DF-3F55-450B-B131-37800D9C60D0}"/>
    <cellStyle name="Normal 4 6 2 2 2 7 3" xfId="21661" xr:uid="{5C2E5C57-453E-42F6-9B5B-F92A204C6475}"/>
    <cellStyle name="Normal 4 6 2 2 2 8" xfId="9003" xr:uid="{09E3BB51-C019-41B9-A048-D60CF8FF138D}"/>
    <cellStyle name="Normal 4 6 2 2 2 9" xfId="17444" xr:uid="{17F0845F-6881-447A-9C30-2B42BD1D36D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8F0AEE14-5FDF-4889-9707-FC6760E238CE}"/>
    <cellStyle name="Normal 4 6 2 2 3 2 2 3" xfId="24218" xr:uid="{46EF8005-C32B-4E75-9179-D7562ECD8347}"/>
    <cellStyle name="Normal 4 6 2 2 3 2 3" xfId="11560" xr:uid="{70FE17A1-DE2D-4CC7-A9C8-5BEF43537572}"/>
    <cellStyle name="Normal 4 6 2 2 3 2 4" xfId="20001" xr:uid="{D2AC5841-83F7-47D9-A3A3-B43028C0B6B8}"/>
    <cellStyle name="Normal 4 6 2 2 3 3" xfId="5183" xr:uid="{00000000-0005-0000-0000-00001C160000}"/>
    <cellStyle name="Normal 4 6 2 2 3 3 2" xfId="13633" xr:uid="{B370539C-A897-4FA2-82A6-607B5FD5C71F}"/>
    <cellStyle name="Normal 4 6 2 2 3 3 3" xfId="22073" xr:uid="{9FB05FAD-B397-4BCF-9777-087A44E571F4}"/>
    <cellStyle name="Normal 4 6 2 2 3 4" xfId="9415" xr:uid="{BAA9F4F8-A136-46ED-936C-4CFCE89ABE96}"/>
    <cellStyle name="Normal 4 6 2 2 3 5" xfId="17856" xr:uid="{021840DC-15AD-4BE0-B8EB-A7F99C3EE59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B1D6FA7F-5D57-4E93-B12E-9DF339EF3AC8}"/>
    <cellStyle name="Normal 4 6 2 2 4 2 2 3" xfId="24631" xr:uid="{DD7CF251-C6BD-48C7-812F-9E84E87CAB46}"/>
    <cellStyle name="Normal 4 6 2 2 4 2 3" xfId="11973" xr:uid="{B4D604AD-09BB-429C-8A92-4A22A13F1919}"/>
    <cellStyle name="Normal 4 6 2 2 4 2 4" xfId="20414" xr:uid="{75E73CFA-8345-4CC5-88BC-74FF561DAC45}"/>
    <cellStyle name="Normal 4 6 2 2 4 3" xfId="5596" xr:uid="{00000000-0005-0000-0000-000020160000}"/>
    <cellStyle name="Normal 4 6 2 2 4 3 2" xfId="14046" xr:uid="{5718A728-E1CB-40D0-91D4-4D689AF15424}"/>
    <cellStyle name="Normal 4 6 2 2 4 3 3" xfId="22486" xr:uid="{8B5EC0B2-FD21-4E8F-9F9A-C5B6D6639F65}"/>
    <cellStyle name="Normal 4 6 2 2 4 4" xfId="9828" xr:uid="{37E62420-F4E0-44D2-995C-5861C54D5F6E}"/>
    <cellStyle name="Normal 4 6 2 2 4 5" xfId="18269" xr:uid="{86C73A19-4F4F-45E3-A5D8-A2ED8A58AAE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1C40DDD3-2608-4CAC-B5BE-08AA9B6AEAED}"/>
    <cellStyle name="Normal 4 6 2 2 5 2 2 3" xfId="25044" xr:uid="{DC133D00-72E1-4EAD-91DB-0C195FB8A8C3}"/>
    <cellStyle name="Normal 4 6 2 2 5 2 3" xfId="12386" xr:uid="{320FDED2-A3AC-4AD1-AB8F-A59254F24755}"/>
    <cellStyle name="Normal 4 6 2 2 5 2 4" xfId="20827" xr:uid="{9F9DEB08-FF63-41DB-B8E6-FE031AE93FAF}"/>
    <cellStyle name="Normal 4 6 2 2 5 3" xfId="6009" xr:uid="{00000000-0005-0000-0000-000024160000}"/>
    <cellStyle name="Normal 4 6 2 2 5 3 2" xfId="14459" xr:uid="{11E28813-B8FE-4BA1-8EED-E12B3898E1ED}"/>
    <cellStyle name="Normal 4 6 2 2 5 3 3" xfId="22899" xr:uid="{528E18E9-C05B-4ACF-BCE5-68A8E9EE0231}"/>
    <cellStyle name="Normal 4 6 2 2 5 4" xfId="10241" xr:uid="{8A4A7417-5073-4D33-A684-61B9F2B2F1E4}"/>
    <cellStyle name="Normal 4 6 2 2 5 5" xfId="18682" xr:uid="{1938F3F4-01A5-485A-AB92-2C4F4E3F9AB4}"/>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8DC50744-1B40-44E0-89CB-F197F2B0E640}"/>
    <cellStyle name="Normal 4 6 2 2 6 2 2 3" xfId="25457" xr:uid="{C5C45A3B-BE4E-43F7-910A-01758841163E}"/>
    <cellStyle name="Normal 4 6 2 2 6 2 3" xfId="12799" xr:uid="{053F4487-84D6-4E11-94CC-03807ECAEC99}"/>
    <cellStyle name="Normal 4 6 2 2 6 2 4" xfId="21240" xr:uid="{CCA76AE7-22FA-4B68-B372-579A5D9FA2C9}"/>
    <cellStyle name="Normal 4 6 2 2 6 3" xfId="6422" xr:uid="{00000000-0005-0000-0000-000028160000}"/>
    <cellStyle name="Normal 4 6 2 2 6 3 2" xfId="14872" xr:uid="{D09C86F0-E2A1-4968-BE23-39566B908D4F}"/>
    <cellStyle name="Normal 4 6 2 2 6 3 3" xfId="23312" xr:uid="{E6353D05-E670-468D-9164-634E8D524748}"/>
    <cellStyle name="Normal 4 6 2 2 6 4" xfId="10654" xr:uid="{1F744C87-D923-4344-9FAC-D553CE8715CC}"/>
    <cellStyle name="Normal 4 6 2 2 6 5" xfId="19095" xr:uid="{D3DAF8F7-F7FD-4824-9708-306E79EC2541}"/>
    <cellStyle name="Normal 4 6 2 2 7" xfId="2552" xr:uid="{00000000-0005-0000-0000-000029160000}"/>
    <cellStyle name="Normal 4 6 2 2 7 2" xfId="6835" xr:uid="{00000000-0005-0000-0000-00002A160000}"/>
    <cellStyle name="Normal 4 6 2 2 7 2 2" xfId="15285" xr:uid="{C6B8E89E-37CB-4F40-8E78-6E13E9046EAB}"/>
    <cellStyle name="Normal 4 6 2 2 7 2 3" xfId="23725" xr:uid="{F1145016-1074-41D4-AC26-AAF988A1DDD8}"/>
    <cellStyle name="Normal 4 6 2 2 7 3" xfId="11067" xr:uid="{0A074AA0-6BC2-4FFA-A864-F96E2EE11E65}"/>
    <cellStyle name="Normal 4 6 2 2 7 4" xfId="19508" xr:uid="{38958D1A-3ECD-41B0-A6E6-C372B1C52833}"/>
    <cellStyle name="Normal 4 6 2 2 8" xfId="4770" xr:uid="{00000000-0005-0000-0000-00002B160000}"/>
    <cellStyle name="Normal 4 6 2 2 8 2" xfId="13220" xr:uid="{08C52B43-F738-4F7D-AC3C-684E5A630BF8}"/>
    <cellStyle name="Normal 4 6 2 2 8 3" xfId="21660" xr:uid="{5E863D38-DD18-498F-A000-4ACD662BF670}"/>
    <cellStyle name="Normal 4 6 2 2 9" xfId="9002" xr:uid="{188375FB-C0D7-461C-85C3-9EADB9971C44}"/>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85CB106A-4E2F-42BB-A5F7-7389F43B3B5D}"/>
    <cellStyle name="Normal 4 6 2 3 2 2 2 3" xfId="24220" xr:uid="{B7E6DCCE-007B-4EB2-BBFC-5419B753C53C}"/>
    <cellStyle name="Normal 4 6 2 3 2 2 3" xfId="11562" xr:uid="{0FA6D7D5-15DE-48A3-B85E-69DA3686965B}"/>
    <cellStyle name="Normal 4 6 2 3 2 2 4" xfId="20003" xr:uid="{B00D85F3-50B1-4B4F-A22A-2D814ADE2999}"/>
    <cellStyle name="Normal 4 6 2 3 2 3" xfId="5185" xr:uid="{00000000-0005-0000-0000-000030160000}"/>
    <cellStyle name="Normal 4 6 2 3 2 3 2" xfId="13635" xr:uid="{5BEFD3EC-55E5-4D45-94D1-F4EEF1D4C637}"/>
    <cellStyle name="Normal 4 6 2 3 2 3 3" xfId="22075" xr:uid="{8BABD982-3D2E-4AFB-9AB5-A99D584C9D02}"/>
    <cellStyle name="Normal 4 6 2 3 2 4" xfId="9417" xr:uid="{F7918829-F813-4E0A-A115-053CB96BB30B}"/>
    <cellStyle name="Normal 4 6 2 3 2 5" xfId="17858" xr:uid="{D848F452-28F0-4BC1-9769-4571D74E8D7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C5B5B271-5678-496D-850B-3A7FBD2A198F}"/>
    <cellStyle name="Normal 4 6 2 3 3 2 2 3" xfId="24633" xr:uid="{E36197D8-769A-4BC2-B8D9-547A85F5F258}"/>
    <cellStyle name="Normal 4 6 2 3 3 2 3" xfId="11975" xr:uid="{FDBC36D1-8F41-4183-AF7A-82F1A0DBE0DE}"/>
    <cellStyle name="Normal 4 6 2 3 3 2 4" xfId="20416" xr:uid="{E891AD7B-3F0E-41BA-A27D-6F26FD37E0BE}"/>
    <cellStyle name="Normal 4 6 2 3 3 3" xfId="5598" xr:uid="{00000000-0005-0000-0000-000034160000}"/>
    <cellStyle name="Normal 4 6 2 3 3 3 2" xfId="14048" xr:uid="{A4DCBCC3-98ED-4CF2-BDE8-5B86589EBB81}"/>
    <cellStyle name="Normal 4 6 2 3 3 3 3" xfId="22488" xr:uid="{DE58866A-C73F-483F-958F-3202C56DC78C}"/>
    <cellStyle name="Normal 4 6 2 3 3 4" xfId="9830" xr:uid="{8BD2FABD-537F-493C-8D0C-7B4E99FC9139}"/>
    <cellStyle name="Normal 4 6 2 3 3 5" xfId="18271" xr:uid="{44052694-B244-4269-AEF9-E917D7A9B7B7}"/>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ED536469-CFBE-496C-9CCA-A3B82E73586D}"/>
    <cellStyle name="Normal 4 6 2 3 4 2 2 3" xfId="25046" xr:uid="{DFC2DDD7-8E8C-4A59-89E6-E9539FA605B7}"/>
    <cellStyle name="Normal 4 6 2 3 4 2 3" xfId="12388" xr:uid="{151FB274-8559-4CE3-870F-35082BF8B2EC}"/>
    <cellStyle name="Normal 4 6 2 3 4 2 4" xfId="20829" xr:uid="{A6D8CC33-A3EC-4998-84E4-5F3292304EC6}"/>
    <cellStyle name="Normal 4 6 2 3 4 3" xfId="6011" xr:uid="{00000000-0005-0000-0000-000038160000}"/>
    <cellStyle name="Normal 4 6 2 3 4 3 2" xfId="14461" xr:uid="{C4A0A7CA-F955-4023-BCA1-6F32A2EFE10C}"/>
    <cellStyle name="Normal 4 6 2 3 4 3 3" xfId="22901" xr:uid="{A5526B84-9BDB-4B92-9D2A-C4D8D02CF681}"/>
    <cellStyle name="Normal 4 6 2 3 4 4" xfId="10243" xr:uid="{C1940340-7CF8-488F-9CFB-63C2EBB99A7D}"/>
    <cellStyle name="Normal 4 6 2 3 4 5" xfId="18684" xr:uid="{6107B172-B555-4AA2-9118-B5112CA587A6}"/>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19B66670-BBF2-4B44-9105-CBD32C55B708}"/>
    <cellStyle name="Normal 4 6 2 3 5 2 2 3" xfId="25459" xr:uid="{69DCD10C-4A04-4CCB-8D7C-FD56D5EC0BB8}"/>
    <cellStyle name="Normal 4 6 2 3 5 2 3" xfId="12801" xr:uid="{81A665CD-DE4F-4FFE-B844-B5DEA0B126D0}"/>
    <cellStyle name="Normal 4 6 2 3 5 2 4" xfId="21242" xr:uid="{D389642F-7EF7-4743-AACA-354B81003F15}"/>
    <cellStyle name="Normal 4 6 2 3 5 3" xfId="6424" xr:uid="{00000000-0005-0000-0000-00003C160000}"/>
    <cellStyle name="Normal 4 6 2 3 5 3 2" xfId="14874" xr:uid="{10DCBC5D-6844-40B6-984E-F08A7267FEF8}"/>
    <cellStyle name="Normal 4 6 2 3 5 3 3" xfId="23314" xr:uid="{DC108E5A-F094-49D6-B3D1-3387275C8E25}"/>
    <cellStyle name="Normal 4 6 2 3 5 4" xfId="10656" xr:uid="{05B98427-6BC0-4D55-92C7-AB96787FFE7B}"/>
    <cellStyle name="Normal 4 6 2 3 5 5" xfId="19097" xr:uid="{5CD90B74-4377-4728-9533-27AE4E986314}"/>
    <cellStyle name="Normal 4 6 2 3 6" xfId="2554" xr:uid="{00000000-0005-0000-0000-00003D160000}"/>
    <cellStyle name="Normal 4 6 2 3 6 2" xfId="6837" xr:uid="{00000000-0005-0000-0000-00003E160000}"/>
    <cellStyle name="Normal 4 6 2 3 6 2 2" xfId="15287" xr:uid="{B394249D-3979-48FE-848C-013DECC0301C}"/>
    <cellStyle name="Normal 4 6 2 3 6 2 3" xfId="23727" xr:uid="{A7CC021A-05F1-42DF-AC40-64EAE4EA8AE8}"/>
    <cellStyle name="Normal 4 6 2 3 6 3" xfId="11069" xr:uid="{79F0F0FF-E2A3-42C7-97DD-E4A592EA51CE}"/>
    <cellStyle name="Normal 4 6 2 3 6 4" xfId="19510" xr:uid="{F1CA6DC0-3656-47EF-B3F5-48F55ADA0ADB}"/>
    <cellStyle name="Normal 4 6 2 3 7" xfId="4772" xr:uid="{00000000-0005-0000-0000-00003F160000}"/>
    <cellStyle name="Normal 4 6 2 3 7 2" xfId="13222" xr:uid="{E698430A-A09C-49B4-A4FB-029360781B96}"/>
    <cellStyle name="Normal 4 6 2 3 7 3" xfId="21662" xr:uid="{2AAD463D-C1D7-4319-A44B-1D965783B8ED}"/>
    <cellStyle name="Normal 4 6 2 3 8" xfId="9004" xr:uid="{1969BB0D-256C-4686-8C64-76AF0CAF1994}"/>
    <cellStyle name="Normal 4 6 2 3 9" xfId="17445" xr:uid="{B2393E33-CCD2-44FA-804D-517F22638C4A}"/>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A99D96C0-978E-452A-A507-42803B463FDD}"/>
    <cellStyle name="Normal 4 6 2 4 2 2 3" xfId="24217" xr:uid="{422FF8D0-D754-4C1F-B39E-FCD46B76B67A}"/>
    <cellStyle name="Normal 4 6 2 4 2 3" xfId="11559" xr:uid="{4F2FF09F-369B-41E1-8035-65FD803B87D1}"/>
    <cellStyle name="Normal 4 6 2 4 2 4" xfId="20000" xr:uid="{BA210431-8546-45CF-A5E1-22722CCBC592}"/>
    <cellStyle name="Normal 4 6 2 4 3" xfId="5182" xr:uid="{00000000-0005-0000-0000-000043160000}"/>
    <cellStyle name="Normal 4 6 2 4 3 2" xfId="13632" xr:uid="{F92CA4E2-676A-49D0-8EE5-4D4A8582B5EF}"/>
    <cellStyle name="Normal 4 6 2 4 3 3" xfId="22072" xr:uid="{4CF6330F-BD55-4723-8F17-33353A9059EA}"/>
    <cellStyle name="Normal 4 6 2 4 4" xfId="9414" xr:uid="{3D945EF5-1D93-401E-BF1C-D8B240156215}"/>
    <cellStyle name="Normal 4 6 2 4 5" xfId="17855" xr:uid="{3F7A25E8-69F9-4ED7-8624-D560F77A4A5B}"/>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EF030D5E-B73A-4862-A1AA-310038060C9C}"/>
    <cellStyle name="Normal 4 6 2 5 2 2 3" xfId="24630" xr:uid="{ADF3CC95-F374-400B-AB78-33CDEDC2BF01}"/>
    <cellStyle name="Normal 4 6 2 5 2 3" xfId="11972" xr:uid="{56EFA1B5-7EBA-4A22-9998-9AF9C56A4C42}"/>
    <cellStyle name="Normal 4 6 2 5 2 4" xfId="20413" xr:uid="{BAA133E3-9D62-4E46-8F03-B7CE9B4E5693}"/>
    <cellStyle name="Normal 4 6 2 5 3" xfId="5595" xr:uid="{00000000-0005-0000-0000-000047160000}"/>
    <cellStyle name="Normal 4 6 2 5 3 2" xfId="14045" xr:uid="{3DB0C151-8CDF-47BE-BD3B-6EE8F01A9D26}"/>
    <cellStyle name="Normal 4 6 2 5 3 3" xfId="22485" xr:uid="{23897239-7EB2-4C56-9D97-64A2BBF01BC0}"/>
    <cellStyle name="Normal 4 6 2 5 4" xfId="9827" xr:uid="{61248848-F64D-47BE-B60B-6D3016F0D18C}"/>
    <cellStyle name="Normal 4 6 2 5 5" xfId="18268" xr:uid="{A7153BC8-089C-4AE3-9C63-773FE350FE33}"/>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B32B93F0-0598-4B1A-B9DF-635AA2528356}"/>
    <cellStyle name="Normal 4 6 2 6 2 2 3" xfId="25043" xr:uid="{96BCB1FD-59DE-45F4-843A-4A8BA9D082F7}"/>
    <cellStyle name="Normal 4 6 2 6 2 3" xfId="12385" xr:uid="{4C73CB2D-E7B2-4584-8637-3BD26B87D5F9}"/>
    <cellStyle name="Normal 4 6 2 6 2 4" xfId="20826" xr:uid="{0459CCA0-D73B-4285-9F66-8181EC17B08B}"/>
    <cellStyle name="Normal 4 6 2 6 3" xfId="6008" xr:uid="{00000000-0005-0000-0000-00004B160000}"/>
    <cellStyle name="Normal 4 6 2 6 3 2" xfId="14458" xr:uid="{5B25FA4E-589D-4DF6-970F-3797BA57E9AF}"/>
    <cellStyle name="Normal 4 6 2 6 3 3" xfId="22898" xr:uid="{EC5395B4-5E74-4E99-9E60-B50F091D61BA}"/>
    <cellStyle name="Normal 4 6 2 6 4" xfId="10240" xr:uid="{5CF1AE30-A93B-4512-BB23-2940C2C833ED}"/>
    <cellStyle name="Normal 4 6 2 6 5" xfId="18681" xr:uid="{780AAA47-91DF-49BF-9257-F48DE4D57BFB}"/>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1DE511BE-B846-4E2B-99FC-5C1976ABEBBF}"/>
    <cellStyle name="Normal 4 6 2 7 2 2 3" xfId="25456" xr:uid="{0809352C-7A86-48E0-9B53-68A2F46FDC6F}"/>
    <cellStyle name="Normal 4 6 2 7 2 3" xfId="12798" xr:uid="{5BD9EF69-34BB-46AE-A503-2EDD5E132B7A}"/>
    <cellStyle name="Normal 4 6 2 7 2 4" xfId="21239" xr:uid="{9C63B806-7D62-483E-93A9-18C5528AE689}"/>
    <cellStyle name="Normal 4 6 2 7 3" xfId="6421" xr:uid="{00000000-0005-0000-0000-00004F160000}"/>
    <cellStyle name="Normal 4 6 2 7 3 2" xfId="14871" xr:uid="{EFF4E2DE-1E8E-47FF-9D54-53868EBD9348}"/>
    <cellStyle name="Normal 4 6 2 7 3 3" xfId="23311" xr:uid="{7FD77942-B11F-4ABE-9522-626F6CB266BD}"/>
    <cellStyle name="Normal 4 6 2 7 4" xfId="10653" xr:uid="{C2B58F02-80F0-4678-B5FB-FD07C27A9693}"/>
    <cellStyle name="Normal 4 6 2 7 5" xfId="19094" xr:uid="{51779865-09A6-461D-9E94-5C7BA6D7DD63}"/>
    <cellStyle name="Normal 4 6 2 8" xfId="2551" xr:uid="{00000000-0005-0000-0000-000050160000}"/>
    <cellStyle name="Normal 4 6 2 8 2" xfId="6834" xr:uid="{00000000-0005-0000-0000-000051160000}"/>
    <cellStyle name="Normal 4 6 2 8 2 2" xfId="15284" xr:uid="{F8557895-37C4-4FE5-B019-006C0BC9B808}"/>
    <cellStyle name="Normal 4 6 2 8 2 3" xfId="23724" xr:uid="{07930FCB-81C0-48E0-B5B8-02C0FA195076}"/>
    <cellStyle name="Normal 4 6 2 8 3" xfId="11066" xr:uid="{26D72325-3532-4FE2-9E58-BBF0F8021F06}"/>
    <cellStyle name="Normal 4 6 2 8 4" xfId="19507" xr:uid="{9C63C6DD-7A11-4335-B838-BB3DE5212124}"/>
    <cellStyle name="Normal 4 6 2 9" xfId="4769" xr:uid="{00000000-0005-0000-0000-000052160000}"/>
    <cellStyle name="Normal 4 6 2 9 2" xfId="13219" xr:uid="{3FE4C702-E7C2-40C2-8E29-EFC5B0325FBC}"/>
    <cellStyle name="Normal 4 6 2 9 3" xfId="21659" xr:uid="{97927331-64E0-424F-9574-0AED14A645F1}"/>
    <cellStyle name="Normal 4 6 3" xfId="400" xr:uid="{00000000-0005-0000-0000-000053160000}"/>
    <cellStyle name="Normal 4 6 3 10" xfId="17446" xr:uid="{A14F9566-ABB2-4CA2-B6EB-60632A6B0E59}"/>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E5633264-C78D-447C-A03D-1678F025C110}"/>
    <cellStyle name="Normal 4 6 3 2 2 2 2 3" xfId="24222" xr:uid="{F1060F8E-3834-424D-947E-6CAAEBD04A47}"/>
    <cellStyle name="Normal 4 6 3 2 2 2 3" xfId="11564" xr:uid="{3115AE42-D26F-4F4D-A441-F0C61B3C7C61}"/>
    <cellStyle name="Normal 4 6 3 2 2 2 4" xfId="20005" xr:uid="{D4F48289-3535-42AD-8D61-DE4A466FA630}"/>
    <cellStyle name="Normal 4 6 3 2 2 3" xfId="5187" xr:uid="{00000000-0005-0000-0000-000058160000}"/>
    <cellStyle name="Normal 4 6 3 2 2 3 2" xfId="13637" xr:uid="{C5CBEF95-8F47-433E-9858-3377781477E1}"/>
    <cellStyle name="Normal 4 6 3 2 2 3 3" xfId="22077" xr:uid="{EFD3893A-1F13-4F0F-8475-E7CFF8967611}"/>
    <cellStyle name="Normal 4 6 3 2 2 4" xfId="9419" xr:uid="{EB6F0B51-13A3-4392-9648-386E9DDE5031}"/>
    <cellStyle name="Normal 4 6 3 2 2 5" xfId="17860" xr:uid="{B099207E-29CB-4EE6-B553-0B21426FE19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9677A778-4688-4FF9-B711-755929FC1DB7}"/>
    <cellStyle name="Normal 4 6 3 2 3 2 2 3" xfId="24635" xr:uid="{12B8FD44-9881-4428-A792-B9C538D5F47F}"/>
    <cellStyle name="Normal 4 6 3 2 3 2 3" xfId="11977" xr:uid="{162547E3-3571-4689-A906-56DC529392DA}"/>
    <cellStyle name="Normal 4 6 3 2 3 2 4" xfId="20418" xr:uid="{1D5689E7-DE5A-4B64-B433-8CE3DD2C46C0}"/>
    <cellStyle name="Normal 4 6 3 2 3 3" xfId="5600" xr:uid="{00000000-0005-0000-0000-00005C160000}"/>
    <cellStyle name="Normal 4 6 3 2 3 3 2" xfId="14050" xr:uid="{9C6DA10C-BB1D-476A-B769-F52F89B5BBA0}"/>
    <cellStyle name="Normal 4 6 3 2 3 3 3" xfId="22490" xr:uid="{0682CDD7-5900-4DCF-B599-8CCBFA5C781F}"/>
    <cellStyle name="Normal 4 6 3 2 3 4" xfId="9832" xr:uid="{D3926615-1702-4288-9077-7AB4FC21541B}"/>
    <cellStyle name="Normal 4 6 3 2 3 5" xfId="18273" xr:uid="{0449A816-23F2-4256-9931-97670BA37B92}"/>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BCC9E1D7-4567-45FC-B111-9972BC2A04E6}"/>
    <cellStyle name="Normal 4 6 3 2 4 2 2 3" xfId="25048" xr:uid="{D0D68C3A-32AD-4BB0-ADD3-8B4FE1686299}"/>
    <cellStyle name="Normal 4 6 3 2 4 2 3" xfId="12390" xr:uid="{1B480FEB-BA8A-42E9-BC93-5B1A44A58FEC}"/>
    <cellStyle name="Normal 4 6 3 2 4 2 4" xfId="20831" xr:uid="{455E25F2-988A-422D-A0B1-ED0190D4A748}"/>
    <cellStyle name="Normal 4 6 3 2 4 3" xfId="6013" xr:uid="{00000000-0005-0000-0000-000060160000}"/>
    <cellStyle name="Normal 4 6 3 2 4 3 2" xfId="14463" xr:uid="{E118A048-A024-4460-A1E0-1AAC950E7FC7}"/>
    <cellStyle name="Normal 4 6 3 2 4 3 3" xfId="22903" xr:uid="{FE9778AA-F094-4380-B899-70C474607AD9}"/>
    <cellStyle name="Normal 4 6 3 2 4 4" xfId="10245" xr:uid="{ECAF1214-8C3D-4AC3-AA5B-6F98A7D0D875}"/>
    <cellStyle name="Normal 4 6 3 2 4 5" xfId="18686" xr:uid="{A9A2E72E-1563-4FC8-AB3A-F396A1AB0054}"/>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E76A8B5C-62B6-42E5-B9B8-387CD4E65FEA}"/>
    <cellStyle name="Normal 4 6 3 2 5 2 2 3" xfId="25461" xr:uid="{FEF50961-9ADA-4D77-96DA-5555B01D7F9A}"/>
    <cellStyle name="Normal 4 6 3 2 5 2 3" xfId="12803" xr:uid="{F34756B1-CF4C-4C21-82EE-BCBB3A4372DB}"/>
    <cellStyle name="Normal 4 6 3 2 5 2 4" xfId="21244" xr:uid="{8471AB5B-0B8F-43E9-A6DB-4B9C4E46DA42}"/>
    <cellStyle name="Normal 4 6 3 2 5 3" xfId="6426" xr:uid="{00000000-0005-0000-0000-000064160000}"/>
    <cellStyle name="Normal 4 6 3 2 5 3 2" xfId="14876" xr:uid="{866D96D8-EF1E-45BB-9746-05B03612B51A}"/>
    <cellStyle name="Normal 4 6 3 2 5 3 3" xfId="23316" xr:uid="{E49556DB-8FBC-47B4-89A4-1F5E430A6180}"/>
    <cellStyle name="Normal 4 6 3 2 5 4" xfId="10658" xr:uid="{B3265B6C-2F1B-49D6-99DB-C3B39841AA46}"/>
    <cellStyle name="Normal 4 6 3 2 5 5" xfId="19099" xr:uid="{1345B3E4-3490-4D5D-81BE-55FAB3D023A0}"/>
    <cellStyle name="Normal 4 6 3 2 6" xfId="2556" xr:uid="{00000000-0005-0000-0000-000065160000}"/>
    <cellStyle name="Normal 4 6 3 2 6 2" xfId="6839" xr:uid="{00000000-0005-0000-0000-000066160000}"/>
    <cellStyle name="Normal 4 6 3 2 6 2 2" xfId="15289" xr:uid="{C908052D-BFA0-4D82-B805-CBB147E5642C}"/>
    <cellStyle name="Normal 4 6 3 2 6 2 3" xfId="23729" xr:uid="{75C40B43-9FD3-4C74-9CFD-C1E212720339}"/>
    <cellStyle name="Normal 4 6 3 2 6 3" xfId="11071" xr:uid="{9C981084-C435-469B-8576-4A753F971BD8}"/>
    <cellStyle name="Normal 4 6 3 2 6 4" xfId="19512" xr:uid="{96CA2831-6E88-47DB-BE1C-618FBB96D33B}"/>
    <cellStyle name="Normal 4 6 3 2 7" xfId="4774" xr:uid="{00000000-0005-0000-0000-000067160000}"/>
    <cellStyle name="Normal 4 6 3 2 7 2" xfId="13224" xr:uid="{38BEC2B7-76DB-49D2-BB93-883F912F637F}"/>
    <cellStyle name="Normal 4 6 3 2 7 3" xfId="21664" xr:uid="{53F01E2A-2878-4AE5-8407-C6522F2545C2}"/>
    <cellStyle name="Normal 4 6 3 2 8" xfId="9006" xr:uid="{87A31BCA-571E-4A6A-BCFD-C5E53544010D}"/>
    <cellStyle name="Normal 4 6 3 2 9" xfId="17447" xr:uid="{014122F6-58EB-4056-8348-241DE1C891B0}"/>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98419C7D-DC65-4E68-B877-A3BAABED5059}"/>
    <cellStyle name="Normal 4 6 3 3 2 2 3" xfId="24221" xr:uid="{5A820022-AF4F-4678-BAB0-3C4CE10FFE04}"/>
    <cellStyle name="Normal 4 6 3 3 2 3" xfId="11563" xr:uid="{07567BF1-3F1A-473F-9A59-45F476C983BA}"/>
    <cellStyle name="Normal 4 6 3 3 2 4" xfId="20004" xr:uid="{4215E20D-CBEB-4884-BD18-9568DE7E5714}"/>
    <cellStyle name="Normal 4 6 3 3 3" xfId="5186" xr:uid="{00000000-0005-0000-0000-00006B160000}"/>
    <cellStyle name="Normal 4 6 3 3 3 2" xfId="13636" xr:uid="{F6416AD2-F55D-445F-87AB-7CA8271789D1}"/>
    <cellStyle name="Normal 4 6 3 3 3 3" xfId="22076" xr:uid="{D0486339-7E72-4CDF-A969-AE6D9CE95117}"/>
    <cellStyle name="Normal 4 6 3 3 4" xfId="9418" xr:uid="{46A7AA52-E22D-4544-AD8D-12C2DC08D9D7}"/>
    <cellStyle name="Normal 4 6 3 3 5" xfId="17859" xr:uid="{E5D3BBB8-B63A-492D-AF78-677A3C78725B}"/>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91D2620-1F4D-4396-85B0-F9FECA481FB7}"/>
    <cellStyle name="Normal 4 6 3 4 2 2 3" xfId="24634" xr:uid="{F594B547-D8EE-4142-BDB9-CFAAD3299268}"/>
    <cellStyle name="Normal 4 6 3 4 2 3" xfId="11976" xr:uid="{FE6F34AA-4E99-4A75-8CAA-E3878EF380EE}"/>
    <cellStyle name="Normal 4 6 3 4 2 4" xfId="20417" xr:uid="{ACC0137A-DC42-43DD-8638-9F84E175EFF8}"/>
    <cellStyle name="Normal 4 6 3 4 3" xfId="5599" xr:uid="{00000000-0005-0000-0000-00006F160000}"/>
    <cellStyle name="Normal 4 6 3 4 3 2" xfId="14049" xr:uid="{A55D4A8F-AACE-4B3C-B930-1EC3075C9D0B}"/>
    <cellStyle name="Normal 4 6 3 4 3 3" xfId="22489" xr:uid="{AF3B56B4-0DA4-48DF-BC16-22F5FFC8E4F4}"/>
    <cellStyle name="Normal 4 6 3 4 4" xfId="9831" xr:uid="{E81DFB25-8391-4FE9-9F92-82A0600D0CDA}"/>
    <cellStyle name="Normal 4 6 3 4 5" xfId="18272" xr:uid="{1F482586-7723-4530-8A09-4B8FA591EC5A}"/>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2EE5587E-BDA0-419B-9A25-C2C70F681144}"/>
    <cellStyle name="Normal 4 6 3 5 2 2 3" xfId="25047" xr:uid="{9A555338-4460-41CD-BEFE-8EF69B28029C}"/>
    <cellStyle name="Normal 4 6 3 5 2 3" xfId="12389" xr:uid="{0F310658-86F1-4F11-B7E1-2E8B603880B9}"/>
    <cellStyle name="Normal 4 6 3 5 2 4" xfId="20830" xr:uid="{E01050F1-FB87-465F-8441-EE809F887CB7}"/>
    <cellStyle name="Normal 4 6 3 5 3" xfId="6012" xr:uid="{00000000-0005-0000-0000-000073160000}"/>
    <cellStyle name="Normal 4 6 3 5 3 2" xfId="14462" xr:uid="{70422905-94D3-4EC0-830A-E38686B433CD}"/>
    <cellStyle name="Normal 4 6 3 5 3 3" xfId="22902" xr:uid="{D813488F-BA60-43C2-AA46-159F136C3702}"/>
    <cellStyle name="Normal 4 6 3 5 4" xfId="10244" xr:uid="{7C02D048-D1C2-489E-92A4-F08875966177}"/>
    <cellStyle name="Normal 4 6 3 5 5" xfId="18685" xr:uid="{77833ABF-773F-4043-8749-CF0E2DA57BC7}"/>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D287375D-6509-4571-9D90-9F489767B36A}"/>
    <cellStyle name="Normal 4 6 3 6 2 2 3" xfId="25460" xr:uid="{992A0724-6AAC-4FCB-A4F5-D9A7744EFA5B}"/>
    <cellStyle name="Normal 4 6 3 6 2 3" xfId="12802" xr:uid="{5B46D164-E6F1-4AD2-AB11-7BC33A25437A}"/>
    <cellStyle name="Normal 4 6 3 6 2 4" xfId="21243" xr:uid="{E952DA4C-75A2-4239-99DB-4DE7EDF92341}"/>
    <cellStyle name="Normal 4 6 3 6 3" xfId="6425" xr:uid="{00000000-0005-0000-0000-000077160000}"/>
    <cellStyle name="Normal 4 6 3 6 3 2" xfId="14875" xr:uid="{1D3AADC8-2C09-4CF3-8760-CF69E6A234DA}"/>
    <cellStyle name="Normal 4 6 3 6 3 3" xfId="23315" xr:uid="{ED907A8A-893E-4DE3-9F62-F11C9885EFB7}"/>
    <cellStyle name="Normal 4 6 3 6 4" xfId="10657" xr:uid="{AE1983CD-23AE-4A10-BA7D-27ED8A22C80D}"/>
    <cellStyle name="Normal 4 6 3 6 5" xfId="19098" xr:uid="{5DE67112-C0B3-4DA4-9D93-EC5709FF2A81}"/>
    <cellStyle name="Normal 4 6 3 7" xfId="2555" xr:uid="{00000000-0005-0000-0000-000078160000}"/>
    <cellStyle name="Normal 4 6 3 7 2" xfId="6838" xr:uid="{00000000-0005-0000-0000-000079160000}"/>
    <cellStyle name="Normal 4 6 3 7 2 2" xfId="15288" xr:uid="{68FDC0F5-BF3E-4E36-8F4E-81128DA9E6D4}"/>
    <cellStyle name="Normal 4 6 3 7 2 3" xfId="23728" xr:uid="{52A52E98-63E0-4D4B-B072-1A4D6724F46B}"/>
    <cellStyle name="Normal 4 6 3 7 3" xfId="11070" xr:uid="{14F023BB-49EA-46C5-9D76-FC5975A4F2EB}"/>
    <cellStyle name="Normal 4 6 3 7 4" xfId="19511" xr:uid="{B9808269-3E81-488E-A97A-C0761ED00A17}"/>
    <cellStyle name="Normal 4 6 3 8" xfId="4773" xr:uid="{00000000-0005-0000-0000-00007A160000}"/>
    <cellStyle name="Normal 4 6 3 8 2" xfId="13223" xr:uid="{5225DF77-E823-4EC5-BCDC-E5EEB3ABA855}"/>
    <cellStyle name="Normal 4 6 3 8 3" xfId="21663" xr:uid="{2EDD88C6-1CE3-43D5-B120-7A7D09E96038}"/>
    <cellStyle name="Normal 4 6 3 9" xfId="9005" xr:uid="{BD0E2C2E-E856-4CEF-A590-E09BCEF63B84}"/>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5393F41F-3088-434F-B66D-6085E802B6EB}"/>
    <cellStyle name="Normal 4 6 4 2 2 2 3" xfId="24223" xr:uid="{756437EA-3FBC-47BA-8BA7-9D31C940FCF1}"/>
    <cellStyle name="Normal 4 6 4 2 2 3" xfId="11565" xr:uid="{64F0AAF6-C7C0-49C4-85AC-9E0033A5423F}"/>
    <cellStyle name="Normal 4 6 4 2 2 4" xfId="20006" xr:uid="{7641D07D-8E99-4CD8-8ACC-7FFBCC26860E}"/>
    <cellStyle name="Normal 4 6 4 2 3" xfId="5188" xr:uid="{00000000-0005-0000-0000-00007F160000}"/>
    <cellStyle name="Normal 4 6 4 2 3 2" xfId="13638" xr:uid="{8A0D4525-EB63-474B-A8D0-C425790C15D8}"/>
    <cellStyle name="Normal 4 6 4 2 3 3" xfId="22078" xr:uid="{6D2305ED-8CB1-48CD-A2A4-B12AC25A28A8}"/>
    <cellStyle name="Normal 4 6 4 2 4" xfId="9420" xr:uid="{6AE8BD8F-CCAE-4B3C-B99D-C8CC20C47D9A}"/>
    <cellStyle name="Normal 4 6 4 2 5" xfId="17861" xr:uid="{94603D93-21DF-4616-96ED-84F7C475D4BE}"/>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114ACAFD-0ABA-43D4-86AD-E5A8DA835B2F}"/>
    <cellStyle name="Normal 4 6 4 3 2 2 3" xfId="24636" xr:uid="{ED1EDB34-DCFE-433A-B7D9-A11C6304AF81}"/>
    <cellStyle name="Normal 4 6 4 3 2 3" xfId="11978" xr:uid="{A628F94B-F029-48E5-BF5E-7523DCC92231}"/>
    <cellStyle name="Normal 4 6 4 3 2 4" xfId="20419" xr:uid="{445C4398-DCFC-4907-A2ED-291BBF78ED92}"/>
    <cellStyle name="Normal 4 6 4 3 3" xfId="5601" xr:uid="{00000000-0005-0000-0000-000083160000}"/>
    <cellStyle name="Normal 4 6 4 3 3 2" xfId="14051" xr:uid="{EE051226-254B-4FC7-A4C7-2CCEF4A49603}"/>
    <cellStyle name="Normal 4 6 4 3 3 3" xfId="22491" xr:uid="{0A7A30CB-9723-4EB6-8A57-3F8D6236B4E8}"/>
    <cellStyle name="Normal 4 6 4 3 4" xfId="9833" xr:uid="{4F9B5D27-F143-46C8-8285-4AD1DB003121}"/>
    <cellStyle name="Normal 4 6 4 3 5" xfId="18274" xr:uid="{DC176367-9895-4E31-9CBE-F942136AF1AA}"/>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BCFE16AC-7A42-474F-B519-C8B8BC4988C1}"/>
    <cellStyle name="Normal 4 6 4 4 2 2 3" xfId="25049" xr:uid="{1D92E075-AF81-4509-AA66-1DF700F16E98}"/>
    <cellStyle name="Normal 4 6 4 4 2 3" xfId="12391" xr:uid="{CF97765F-858C-48B7-9D33-7DD6BC50356D}"/>
    <cellStyle name="Normal 4 6 4 4 2 4" xfId="20832" xr:uid="{0BDC757D-752A-45C8-BEF5-C5459BB617BC}"/>
    <cellStyle name="Normal 4 6 4 4 3" xfId="6014" xr:uid="{00000000-0005-0000-0000-000087160000}"/>
    <cellStyle name="Normal 4 6 4 4 3 2" xfId="14464" xr:uid="{D1648749-497B-4D4C-BA92-179919E3CE65}"/>
    <cellStyle name="Normal 4 6 4 4 3 3" xfId="22904" xr:uid="{7E39F0D1-D1E7-4EFA-B5AE-E56F449019FF}"/>
    <cellStyle name="Normal 4 6 4 4 4" xfId="10246" xr:uid="{B6D096BF-EB90-4409-806F-EA98247595AF}"/>
    <cellStyle name="Normal 4 6 4 4 5" xfId="18687" xr:uid="{0E74CB0C-6788-430C-B2AE-98DE232206D5}"/>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222CCAAE-B900-46F3-A856-B4ADB34911CE}"/>
    <cellStyle name="Normal 4 6 4 5 2 2 3" xfId="25462" xr:uid="{16356715-D138-492F-A093-8BD1581C0200}"/>
    <cellStyle name="Normal 4 6 4 5 2 3" xfId="12804" xr:uid="{02D54898-7C70-4464-9E06-BE816497D4C6}"/>
    <cellStyle name="Normal 4 6 4 5 2 4" xfId="21245" xr:uid="{DCF3C082-0BEE-49CF-BA6D-0F838035C501}"/>
    <cellStyle name="Normal 4 6 4 5 3" xfId="6427" xr:uid="{00000000-0005-0000-0000-00008B160000}"/>
    <cellStyle name="Normal 4 6 4 5 3 2" xfId="14877" xr:uid="{164247A0-1FD3-4064-9D6B-A31A04BC7B48}"/>
    <cellStyle name="Normal 4 6 4 5 3 3" xfId="23317" xr:uid="{18B8EA60-278F-4F62-9A13-9DB7781B315E}"/>
    <cellStyle name="Normal 4 6 4 5 4" xfId="10659" xr:uid="{08778A75-F5D2-4273-8D99-C36ACF4A9DB4}"/>
    <cellStyle name="Normal 4 6 4 5 5" xfId="19100" xr:uid="{C3FB561F-8049-41E8-AE4D-AD02E21F4755}"/>
    <cellStyle name="Normal 4 6 4 6" xfId="2557" xr:uid="{00000000-0005-0000-0000-00008C160000}"/>
    <cellStyle name="Normal 4 6 4 6 2" xfId="6840" xr:uid="{00000000-0005-0000-0000-00008D160000}"/>
    <cellStyle name="Normal 4 6 4 6 2 2" xfId="15290" xr:uid="{31DD71D4-5CBA-4CB6-9CF2-CB6FB37E20A9}"/>
    <cellStyle name="Normal 4 6 4 6 2 3" xfId="23730" xr:uid="{79C511D5-ECC6-4854-AC3A-A6AE449CEA45}"/>
    <cellStyle name="Normal 4 6 4 6 3" xfId="11072" xr:uid="{5A2D36E2-EC7F-4AEC-A9DA-BF2AF4B0FD1B}"/>
    <cellStyle name="Normal 4 6 4 6 4" xfId="19513" xr:uid="{193D44DA-41CA-46B9-999F-00A1C205019B}"/>
    <cellStyle name="Normal 4 6 4 7" xfId="4775" xr:uid="{00000000-0005-0000-0000-00008E160000}"/>
    <cellStyle name="Normal 4 6 4 7 2" xfId="13225" xr:uid="{BA58CC34-FED2-498E-A31C-D1ADE0875CE5}"/>
    <cellStyle name="Normal 4 6 4 7 3" xfId="21665" xr:uid="{121A9034-E67D-488C-8937-524A9D74C81F}"/>
    <cellStyle name="Normal 4 6 4 8" xfId="9007" xr:uid="{89ADB44E-2B2C-4277-9800-D91D39716911}"/>
    <cellStyle name="Normal 4 6 4 9" xfId="17448" xr:uid="{86C2DF58-9B2D-4941-B5FE-6B3C4E2B6202}"/>
    <cellStyle name="Normal 4 6 5" xfId="869" xr:uid="{00000000-0005-0000-0000-00008F160000}"/>
    <cellStyle name="Normal 4 6 5 2" xfId="3104" xr:uid="{00000000-0005-0000-0000-000090160000}"/>
    <cellStyle name="Normal 4 6 5 2 2" xfId="7326" xr:uid="{00000000-0005-0000-0000-000091160000}"/>
    <cellStyle name="Normal 4 6 5 2 2 2" xfId="15776" xr:uid="{6E86A232-BC0A-4077-93D2-602D9F9E6563}"/>
    <cellStyle name="Normal 4 6 5 2 2 3" xfId="24216" xr:uid="{C771B159-5BDA-4404-BB78-DFF28B0DD743}"/>
    <cellStyle name="Normal 4 6 5 2 3" xfId="11558" xr:uid="{E328A1B6-BC9B-45FE-A6C8-11CFAB48C88A}"/>
    <cellStyle name="Normal 4 6 5 2 4" xfId="19999" xr:uid="{6AC0F245-7F06-430F-BAA9-540AD5942473}"/>
    <cellStyle name="Normal 4 6 5 3" xfId="5181" xr:uid="{00000000-0005-0000-0000-000092160000}"/>
    <cellStyle name="Normal 4 6 5 3 2" xfId="13631" xr:uid="{20918A09-63D0-43D4-AB71-A7C8F425312A}"/>
    <cellStyle name="Normal 4 6 5 3 3" xfId="22071" xr:uid="{F1C009D2-4CD0-42A1-800A-484901C687DE}"/>
    <cellStyle name="Normal 4 6 5 4" xfId="9413" xr:uid="{42DC6500-D9E5-4769-BA96-37FBCE3CBBAF}"/>
    <cellStyle name="Normal 4 6 5 5" xfId="17854" xr:uid="{FB86CF6D-77DC-4305-B33E-E18F72A27403}"/>
    <cellStyle name="Normal 4 6 6" xfId="1287" xr:uid="{00000000-0005-0000-0000-000093160000}"/>
    <cellStyle name="Normal 4 6 6 2" xfId="3517" xr:uid="{00000000-0005-0000-0000-000094160000}"/>
    <cellStyle name="Normal 4 6 6 2 2" xfId="7739" xr:uid="{00000000-0005-0000-0000-000095160000}"/>
    <cellStyle name="Normal 4 6 6 2 2 2" xfId="16189" xr:uid="{8DF2AD14-C9B3-4424-B2D4-5E8880CD8C39}"/>
    <cellStyle name="Normal 4 6 6 2 2 3" xfId="24629" xr:uid="{12B4C1BB-113C-4427-92A0-28217AB82BFE}"/>
    <cellStyle name="Normal 4 6 6 2 3" xfId="11971" xr:uid="{F7B89C1B-1E3C-40D1-A387-3B8E5BA94098}"/>
    <cellStyle name="Normal 4 6 6 2 4" xfId="20412" xr:uid="{07E7AC5B-63D2-4AF2-B620-7899947885C2}"/>
    <cellStyle name="Normal 4 6 6 3" xfId="5594" xr:uid="{00000000-0005-0000-0000-000096160000}"/>
    <cellStyle name="Normal 4 6 6 3 2" xfId="14044" xr:uid="{E32192BC-2EA9-47A2-BC88-EF3137A98D0F}"/>
    <cellStyle name="Normal 4 6 6 3 3" xfId="22484" xr:uid="{865EC560-DDE5-4948-A0FA-1416139B6A05}"/>
    <cellStyle name="Normal 4 6 6 4" xfId="9826" xr:uid="{F1CC9E69-E402-4C8A-B6F3-C0BCC61C6098}"/>
    <cellStyle name="Normal 4 6 6 5" xfId="18267" xr:uid="{FB671874-DFB8-4CA1-9E63-CDAA7518B9F8}"/>
    <cellStyle name="Normal 4 6 7" xfId="1700" xr:uid="{00000000-0005-0000-0000-000097160000}"/>
    <cellStyle name="Normal 4 6 7 2" xfId="3930" xr:uid="{00000000-0005-0000-0000-000098160000}"/>
    <cellStyle name="Normal 4 6 7 2 2" xfId="8152" xr:uid="{00000000-0005-0000-0000-000099160000}"/>
    <cellStyle name="Normal 4 6 7 2 2 2" xfId="16602" xr:uid="{B3C53067-ED7B-4421-9EED-B5D41449B851}"/>
    <cellStyle name="Normal 4 6 7 2 2 3" xfId="25042" xr:uid="{DA2AD31D-BA0C-4628-93A9-9957A6BB73C9}"/>
    <cellStyle name="Normal 4 6 7 2 3" xfId="12384" xr:uid="{F18AF480-9147-48B3-A6BC-0EDFDDA5FC62}"/>
    <cellStyle name="Normal 4 6 7 2 4" xfId="20825" xr:uid="{7DB87497-B1FF-4C04-886A-91F66F48C624}"/>
    <cellStyle name="Normal 4 6 7 3" xfId="6007" xr:uid="{00000000-0005-0000-0000-00009A160000}"/>
    <cellStyle name="Normal 4 6 7 3 2" xfId="14457" xr:uid="{259DBE62-7EFA-4D1E-B393-B130978290AF}"/>
    <cellStyle name="Normal 4 6 7 3 3" xfId="22897" xr:uid="{679B1C8E-FFC6-415C-AC0A-45798931745B}"/>
    <cellStyle name="Normal 4 6 7 4" xfId="10239" xr:uid="{75821FED-7FCD-4373-A22D-2B53D0AF1507}"/>
    <cellStyle name="Normal 4 6 7 5" xfId="18680" xr:uid="{70A3EE69-66B5-446E-9C58-687622D7615F}"/>
    <cellStyle name="Normal 4 6 8" xfId="2114" xr:uid="{00000000-0005-0000-0000-00009B160000}"/>
    <cellStyle name="Normal 4 6 8 2" xfId="4343" xr:uid="{00000000-0005-0000-0000-00009C160000}"/>
    <cellStyle name="Normal 4 6 8 2 2" xfId="8565" xr:uid="{00000000-0005-0000-0000-00009D160000}"/>
    <cellStyle name="Normal 4 6 8 2 2 2" xfId="17015" xr:uid="{45DE2982-6121-4581-9967-E9673B6DC706}"/>
    <cellStyle name="Normal 4 6 8 2 2 3" xfId="25455" xr:uid="{C251D476-7468-4D27-8BEE-D7B2D424389B}"/>
    <cellStyle name="Normal 4 6 8 2 3" xfId="12797" xr:uid="{E91F1821-9E18-427E-8B05-8407296E9460}"/>
    <cellStyle name="Normal 4 6 8 2 4" xfId="21238" xr:uid="{13729927-B486-4560-9FCE-098F19F5EA5E}"/>
    <cellStyle name="Normal 4 6 8 3" xfId="6420" xr:uid="{00000000-0005-0000-0000-00009E160000}"/>
    <cellStyle name="Normal 4 6 8 3 2" xfId="14870" xr:uid="{06CE5CB9-352A-4AF8-8B10-0D82451FB4F1}"/>
    <cellStyle name="Normal 4 6 8 3 3" xfId="23310" xr:uid="{9A5DD38C-625B-451D-A79A-83F38D95861B}"/>
    <cellStyle name="Normal 4 6 8 4" xfId="10652" xr:uid="{3AEEA187-CF60-444A-BB7E-BFA67A9191CC}"/>
    <cellStyle name="Normal 4 6 8 5" xfId="19093" xr:uid="{AC148CB3-44FA-4E83-9630-F06B8953317B}"/>
    <cellStyle name="Normal 4 6 9" xfId="2550" xr:uid="{00000000-0005-0000-0000-00009F160000}"/>
    <cellStyle name="Normal 4 6 9 2" xfId="6833" xr:uid="{00000000-0005-0000-0000-0000A0160000}"/>
    <cellStyle name="Normal 4 6 9 2 2" xfId="15283" xr:uid="{37D1B3FB-0350-41E7-8601-140DAF539FCA}"/>
    <cellStyle name="Normal 4 6 9 2 3" xfId="23723" xr:uid="{C2DC7B83-188D-4BBE-9DA2-4F0D14665812}"/>
    <cellStyle name="Normal 4 6 9 3" xfId="11065" xr:uid="{0833886B-C3FF-46AF-BF6D-5934FA79D2C5}"/>
    <cellStyle name="Normal 4 6 9 4" xfId="19506" xr:uid="{03D24F5C-11CC-4EA0-8601-8D7828F1EC86}"/>
    <cellStyle name="Normal 4 7" xfId="403" xr:uid="{00000000-0005-0000-0000-0000A1160000}"/>
    <cellStyle name="Normal 4 7 10" xfId="17449" xr:uid="{406390CE-8674-4AE5-8414-F3644D147B19}"/>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99A7E37E-F3C0-4572-8A43-560F4144D3E6}"/>
    <cellStyle name="Normal 4 7 2 2 2 2 3" xfId="24225" xr:uid="{D061FA48-A636-423E-B8ED-86D6D81338FA}"/>
    <cellStyle name="Normal 4 7 2 2 2 3" xfId="11567" xr:uid="{369DF18D-2E16-4FDD-B924-45F3D6AA2F47}"/>
    <cellStyle name="Normal 4 7 2 2 2 4" xfId="20008" xr:uid="{DC52BF4D-4CC7-4DEF-AD16-6A8EA720CFBB}"/>
    <cellStyle name="Normal 4 7 2 2 3" xfId="5190" xr:uid="{00000000-0005-0000-0000-0000A6160000}"/>
    <cellStyle name="Normal 4 7 2 2 3 2" xfId="13640" xr:uid="{A4060B04-04CD-4A24-A022-A4123AF70E6B}"/>
    <cellStyle name="Normal 4 7 2 2 3 3" xfId="22080" xr:uid="{035BA853-E92B-40FC-9E19-A231D9E18DAA}"/>
    <cellStyle name="Normal 4 7 2 2 4" xfId="9422" xr:uid="{BD717667-22DF-494D-BFA1-3BA0D8945FD7}"/>
    <cellStyle name="Normal 4 7 2 2 5" xfId="17863" xr:uid="{6BAF72D2-82DC-4837-A7EA-DB6205B80990}"/>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511185A2-B98C-4000-AC84-C9041259C040}"/>
    <cellStyle name="Normal 4 7 2 3 2 2 3" xfId="24638" xr:uid="{55D0205D-849F-46AE-A644-BE034C529253}"/>
    <cellStyle name="Normal 4 7 2 3 2 3" xfId="11980" xr:uid="{351A9E52-131E-4D61-90A3-0704062EFABD}"/>
    <cellStyle name="Normal 4 7 2 3 2 4" xfId="20421" xr:uid="{E3E7A7D6-2B62-4E8B-88DD-7FF2DDF0BAF0}"/>
    <cellStyle name="Normal 4 7 2 3 3" xfId="5603" xr:uid="{00000000-0005-0000-0000-0000AA160000}"/>
    <cellStyle name="Normal 4 7 2 3 3 2" xfId="14053" xr:uid="{01273C11-9023-45AB-8A36-FAF05A0F20C1}"/>
    <cellStyle name="Normal 4 7 2 3 3 3" xfId="22493" xr:uid="{3D997EB5-B049-48EF-BCAC-CEC2E6B0997F}"/>
    <cellStyle name="Normal 4 7 2 3 4" xfId="9835" xr:uid="{A1A06EBE-7CA1-4CC3-AD67-716FC4B87615}"/>
    <cellStyle name="Normal 4 7 2 3 5" xfId="18276" xr:uid="{25BB98A4-DE03-442C-B19E-2D451C40371B}"/>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F13C1407-87DE-477B-B94B-E3B0AEC93B90}"/>
    <cellStyle name="Normal 4 7 2 4 2 2 3" xfId="25051" xr:uid="{61446492-4E52-4892-8B11-D46002363C27}"/>
    <cellStyle name="Normal 4 7 2 4 2 3" xfId="12393" xr:uid="{B48539B9-0DD5-44D0-9555-E26A25EA5B93}"/>
    <cellStyle name="Normal 4 7 2 4 2 4" xfId="20834" xr:uid="{FB49A9DF-9DD8-4711-B4B4-C28E95A064BF}"/>
    <cellStyle name="Normal 4 7 2 4 3" xfId="6016" xr:uid="{00000000-0005-0000-0000-0000AE160000}"/>
    <cellStyle name="Normal 4 7 2 4 3 2" xfId="14466" xr:uid="{9BF3F5A1-E0AB-4F8E-A522-CFA4B6C73A67}"/>
    <cellStyle name="Normal 4 7 2 4 3 3" xfId="22906" xr:uid="{11DE7FB7-FA68-4C0B-8FC9-EA1C825C33FF}"/>
    <cellStyle name="Normal 4 7 2 4 4" xfId="10248" xr:uid="{115D9791-AC2A-49E4-96B7-FFFC4699FDBA}"/>
    <cellStyle name="Normal 4 7 2 4 5" xfId="18689" xr:uid="{F5DEF5B1-0D4D-40F3-B3F8-C53CECDC59F2}"/>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8CF4C07B-4829-4B45-B364-3DE890550FF1}"/>
    <cellStyle name="Normal 4 7 2 5 2 2 3" xfId="25464" xr:uid="{7E603008-D1A8-4B6D-9BB2-4FF99B08E168}"/>
    <cellStyle name="Normal 4 7 2 5 2 3" xfId="12806" xr:uid="{F0821252-F6C2-42F3-B796-B52FC26CF242}"/>
    <cellStyle name="Normal 4 7 2 5 2 4" xfId="21247" xr:uid="{B84B12E0-F781-406D-852E-5C38742F2711}"/>
    <cellStyle name="Normal 4 7 2 5 3" xfId="6429" xr:uid="{00000000-0005-0000-0000-0000B2160000}"/>
    <cellStyle name="Normal 4 7 2 5 3 2" xfId="14879" xr:uid="{0E2FFF9C-C8D8-45CC-8C67-5369F9043C9C}"/>
    <cellStyle name="Normal 4 7 2 5 3 3" xfId="23319" xr:uid="{A53D99B2-F3A5-4BBA-B248-D75791368EF4}"/>
    <cellStyle name="Normal 4 7 2 5 4" xfId="10661" xr:uid="{7E02308E-5EAF-4682-B276-50C9DDC6891E}"/>
    <cellStyle name="Normal 4 7 2 5 5" xfId="19102" xr:uid="{91389187-80B2-4076-A2BF-5FBB0F1BBBF2}"/>
    <cellStyle name="Normal 4 7 2 6" xfId="2559" xr:uid="{00000000-0005-0000-0000-0000B3160000}"/>
    <cellStyle name="Normal 4 7 2 6 2" xfId="6842" xr:uid="{00000000-0005-0000-0000-0000B4160000}"/>
    <cellStyle name="Normal 4 7 2 6 2 2" xfId="15292" xr:uid="{ABA447C2-DF84-4117-82D4-601DBDA095F7}"/>
    <cellStyle name="Normal 4 7 2 6 2 3" xfId="23732" xr:uid="{158A3BAC-8C7D-463D-885A-542C1FC30743}"/>
    <cellStyle name="Normal 4 7 2 6 3" xfId="11074" xr:uid="{B7C6B0A4-B735-4A8A-9385-D4A82C41512A}"/>
    <cellStyle name="Normal 4 7 2 6 4" xfId="19515" xr:uid="{80827AA4-9C05-4EE0-A5D0-BB44872C2536}"/>
    <cellStyle name="Normal 4 7 2 7" xfId="4777" xr:uid="{00000000-0005-0000-0000-0000B5160000}"/>
    <cellStyle name="Normal 4 7 2 7 2" xfId="13227" xr:uid="{A6903870-CE87-469D-8A58-976282B1B549}"/>
    <cellStyle name="Normal 4 7 2 7 3" xfId="21667" xr:uid="{8B2BE374-AD84-46D1-B047-A26AE84D0717}"/>
    <cellStyle name="Normal 4 7 2 8" xfId="9009" xr:uid="{1ED78921-C673-4712-B599-970606435472}"/>
    <cellStyle name="Normal 4 7 2 9" xfId="17450" xr:uid="{1BA27513-BBAB-482B-B94E-09D2F6425C9A}"/>
    <cellStyle name="Normal 4 7 3" xfId="877" xr:uid="{00000000-0005-0000-0000-0000B6160000}"/>
    <cellStyle name="Normal 4 7 3 2" xfId="3112" xr:uid="{00000000-0005-0000-0000-0000B7160000}"/>
    <cellStyle name="Normal 4 7 3 2 2" xfId="7334" xr:uid="{00000000-0005-0000-0000-0000B8160000}"/>
    <cellStyle name="Normal 4 7 3 2 2 2" xfId="15784" xr:uid="{BC20944B-28E5-4275-9E88-C61FECC094ED}"/>
    <cellStyle name="Normal 4 7 3 2 2 3" xfId="24224" xr:uid="{E2328C79-9FA4-4072-9F2C-170F88193862}"/>
    <cellStyle name="Normal 4 7 3 2 3" xfId="11566" xr:uid="{37831713-177D-4C51-8D08-8AD23010C905}"/>
    <cellStyle name="Normal 4 7 3 2 4" xfId="20007" xr:uid="{E76A8658-4076-43C6-9CA9-EFC948005E76}"/>
    <cellStyle name="Normal 4 7 3 3" xfId="5189" xr:uid="{00000000-0005-0000-0000-0000B9160000}"/>
    <cellStyle name="Normal 4 7 3 3 2" xfId="13639" xr:uid="{52ED2BC0-B508-4AC5-8CA3-C35FF3FD6488}"/>
    <cellStyle name="Normal 4 7 3 3 3" xfId="22079" xr:uid="{A6B86089-75E1-4B2D-ADC6-F41E78C1904F}"/>
    <cellStyle name="Normal 4 7 3 4" xfId="9421" xr:uid="{AA1BA538-AD80-49B7-A673-F66304639B78}"/>
    <cellStyle name="Normal 4 7 3 5" xfId="17862" xr:uid="{98F6C93E-57A1-4766-BE0D-EA2F40C67E68}"/>
    <cellStyle name="Normal 4 7 4" xfId="1295" xr:uid="{00000000-0005-0000-0000-0000BA160000}"/>
    <cellStyle name="Normal 4 7 4 2" xfId="3525" xr:uid="{00000000-0005-0000-0000-0000BB160000}"/>
    <cellStyle name="Normal 4 7 4 2 2" xfId="7747" xr:uid="{00000000-0005-0000-0000-0000BC160000}"/>
    <cellStyle name="Normal 4 7 4 2 2 2" xfId="16197" xr:uid="{F59C35B9-D17D-41EE-B7BF-4350A50487D6}"/>
    <cellStyle name="Normal 4 7 4 2 2 3" xfId="24637" xr:uid="{39C5E922-7B33-4767-A75F-21D8591E112F}"/>
    <cellStyle name="Normal 4 7 4 2 3" xfId="11979" xr:uid="{63C16D6B-E902-41FB-9E82-E5A913F76F37}"/>
    <cellStyle name="Normal 4 7 4 2 4" xfId="20420" xr:uid="{F048220F-5109-4607-8256-60B7BC1C5B90}"/>
    <cellStyle name="Normal 4 7 4 3" xfId="5602" xr:uid="{00000000-0005-0000-0000-0000BD160000}"/>
    <cellStyle name="Normal 4 7 4 3 2" xfId="14052" xr:uid="{A84C6E4D-223A-447A-8184-26318E4B5A8D}"/>
    <cellStyle name="Normal 4 7 4 3 3" xfId="22492" xr:uid="{21590019-8327-4DA9-B5BE-957EED776599}"/>
    <cellStyle name="Normal 4 7 4 4" xfId="9834" xr:uid="{695A57B0-9246-4B61-B1BF-F08EAE4F85E1}"/>
    <cellStyle name="Normal 4 7 4 5" xfId="18275" xr:uid="{76325396-60E4-4C15-BB2C-B0DB3ACA6B17}"/>
    <cellStyle name="Normal 4 7 5" xfId="1708" xr:uid="{00000000-0005-0000-0000-0000BE160000}"/>
    <cellStyle name="Normal 4 7 5 2" xfId="3938" xr:uid="{00000000-0005-0000-0000-0000BF160000}"/>
    <cellStyle name="Normal 4 7 5 2 2" xfId="8160" xr:uid="{00000000-0005-0000-0000-0000C0160000}"/>
    <cellStyle name="Normal 4 7 5 2 2 2" xfId="16610" xr:uid="{46BAEB6E-8767-4BD0-B184-C65DD8CF8B55}"/>
    <cellStyle name="Normal 4 7 5 2 2 3" xfId="25050" xr:uid="{29251747-31D7-42DC-A7A0-A2EC85D82ED6}"/>
    <cellStyle name="Normal 4 7 5 2 3" xfId="12392" xr:uid="{05B33D25-5E07-439A-A28E-B122EEE51DA3}"/>
    <cellStyle name="Normal 4 7 5 2 4" xfId="20833" xr:uid="{C24EF386-498E-4B8D-9DEA-70D095BDC452}"/>
    <cellStyle name="Normal 4 7 5 3" xfId="6015" xr:uid="{00000000-0005-0000-0000-0000C1160000}"/>
    <cellStyle name="Normal 4 7 5 3 2" xfId="14465" xr:uid="{483F7513-3F9C-42CB-8B89-112BB380CBFF}"/>
    <cellStyle name="Normal 4 7 5 3 3" xfId="22905" xr:uid="{6DC2D41B-A944-4BC1-B2CA-EDFA62906B63}"/>
    <cellStyle name="Normal 4 7 5 4" xfId="10247" xr:uid="{55B2619F-7BC6-4848-9012-8BEA4D640010}"/>
    <cellStyle name="Normal 4 7 5 5" xfId="18688" xr:uid="{23156D1B-356F-452F-9858-4EF3795FADC5}"/>
    <cellStyle name="Normal 4 7 6" xfId="2122" xr:uid="{00000000-0005-0000-0000-0000C2160000}"/>
    <cellStyle name="Normal 4 7 6 2" xfId="4351" xr:uid="{00000000-0005-0000-0000-0000C3160000}"/>
    <cellStyle name="Normal 4 7 6 2 2" xfId="8573" xr:uid="{00000000-0005-0000-0000-0000C4160000}"/>
    <cellStyle name="Normal 4 7 6 2 2 2" xfId="17023" xr:uid="{081FC964-7AD6-4436-BC14-7F9E493A73A8}"/>
    <cellStyle name="Normal 4 7 6 2 2 3" xfId="25463" xr:uid="{AEE07830-E706-42A8-8DE8-C919E480EAED}"/>
    <cellStyle name="Normal 4 7 6 2 3" xfId="12805" xr:uid="{68770559-5D16-475E-BB6B-A9DB6C210F91}"/>
    <cellStyle name="Normal 4 7 6 2 4" xfId="21246" xr:uid="{BA985154-6E92-4324-8622-15CA3585A439}"/>
    <cellStyle name="Normal 4 7 6 3" xfId="6428" xr:uid="{00000000-0005-0000-0000-0000C5160000}"/>
    <cellStyle name="Normal 4 7 6 3 2" xfId="14878" xr:uid="{D31DC8D1-DBB4-4ABD-B103-DE52BC6F3663}"/>
    <cellStyle name="Normal 4 7 6 3 3" xfId="23318" xr:uid="{AB713718-6B65-4335-84A2-010E152289D9}"/>
    <cellStyle name="Normal 4 7 6 4" xfId="10660" xr:uid="{6BB9C73F-2AAD-4FC8-B67E-CF4CA69E6BD1}"/>
    <cellStyle name="Normal 4 7 6 5" xfId="19101" xr:uid="{B5477BFA-0D7F-4323-A4F5-934B436B7FC4}"/>
    <cellStyle name="Normal 4 7 7" xfId="2558" xr:uid="{00000000-0005-0000-0000-0000C6160000}"/>
    <cellStyle name="Normal 4 7 7 2" xfId="6841" xr:uid="{00000000-0005-0000-0000-0000C7160000}"/>
    <cellStyle name="Normal 4 7 7 2 2" xfId="15291" xr:uid="{3368421D-CE67-4451-B26C-0BBA45D538F0}"/>
    <cellStyle name="Normal 4 7 7 2 3" xfId="23731" xr:uid="{79618D73-B927-4BC5-A6F9-A03FED7E92C2}"/>
    <cellStyle name="Normal 4 7 7 3" xfId="11073" xr:uid="{C1099062-4B9E-4758-8344-745B79EF1550}"/>
    <cellStyle name="Normal 4 7 7 4" xfId="19514" xr:uid="{1BF939D2-56A4-4FC5-8335-26BE6C934391}"/>
    <cellStyle name="Normal 4 7 8" xfId="4776" xr:uid="{00000000-0005-0000-0000-0000C8160000}"/>
    <cellStyle name="Normal 4 7 8 2" xfId="13226" xr:uid="{ED2253BD-6DEE-44A9-AD08-2C3F52AB21EB}"/>
    <cellStyle name="Normal 4 7 8 3" xfId="21666" xr:uid="{496D6418-B8F4-4DF7-8C62-928A7B4CD161}"/>
    <cellStyle name="Normal 4 7 9" xfId="9008" xr:uid="{7CE3BBE3-1357-4F5F-B773-78AEF7E378B1}"/>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07515C2F-C537-45A2-B442-ED2026D046E2}"/>
    <cellStyle name="Normal 4 8 2 2 2 3" xfId="24226" xr:uid="{DE6CAA30-4A0B-4B06-BD22-90113C9A1B39}"/>
    <cellStyle name="Normal 4 8 2 2 3" xfId="11568" xr:uid="{31055A70-105B-464C-B5CF-230AE4432EEA}"/>
    <cellStyle name="Normal 4 8 2 2 4" xfId="20009" xr:uid="{02BB32A1-9E95-4D6C-BA40-A5A123A05099}"/>
    <cellStyle name="Normal 4 8 2 3" xfId="5191" xr:uid="{00000000-0005-0000-0000-0000CD160000}"/>
    <cellStyle name="Normal 4 8 2 3 2" xfId="13641" xr:uid="{224367F8-38C5-473A-987A-F31FB54CD954}"/>
    <cellStyle name="Normal 4 8 2 3 3" xfId="22081" xr:uid="{BBAC6FEF-BDAF-4B3A-851F-B5816C938283}"/>
    <cellStyle name="Normal 4 8 2 4" xfId="9423" xr:uid="{24F4CF9F-C0D7-458A-8BAB-824675923888}"/>
    <cellStyle name="Normal 4 8 2 5" xfId="17864" xr:uid="{1EC700D0-9870-464B-8B5E-46BDE954ABF0}"/>
    <cellStyle name="Normal 4 8 3" xfId="1297" xr:uid="{00000000-0005-0000-0000-0000CE160000}"/>
    <cellStyle name="Normal 4 8 3 2" xfId="3527" xr:uid="{00000000-0005-0000-0000-0000CF160000}"/>
    <cellStyle name="Normal 4 8 3 2 2" xfId="7749" xr:uid="{00000000-0005-0000-0000-0000D0160000}"/>
    <cellStyle name="Normal 4 8 3 2 2 2" xfId="16199" xr:uid="{902C2FAE-6C31-43FA-9671-FB6ECF6ACF25}"/>
    <cellStyle name="Normal 4 8 3 2 2 3" xfId="24639" xr:uid="{D13D3480-B635-4A0B-8998-00A33A8A50DA}"/>
    <cellStyle name="Normal 4 8 3 2 3" xfId="11981" xr:uid="{B6021170-C4E2-43A9-97C7-B3BD75BF6ACF}"/>
    <cellStyle name="Normal 4 8 3 2 4" xfId="20422" xr:uid="{3710186D-F819-4968-9114-8B94AE6052A7}"/>
    <cellStyle name="Normal 4 8 3 3" xfId="5604" xr:uid="{00000000-0005-0000-0000-0000D1160000}"/>
    <cellStyle name="Normal 4 8 3 3 2" xfId="14054" xr:uid="{EBB8C30E-72D8-4C33-B521-AB0B2BD55762}"/>
    <cellStyle name="Normal 4 8 3 3 3" xfId="22494" xr:uid="{514A579E-2E82-47C4-AE54-AEB93E72CF17}"/>
    <cellStyle name="Normal 4 8 3 4" xfId="9836" xr:uid="{C6D809FC-5204-4202-BA59-E39F721F9204}"/>
    <cellStyle name="Normal 4 8 3 5" xfId="18277" xr:uid="{335F944A-690F-446D-AF19-4EDFD01E3DAA}"/>
    <cellStyle name="Normal 4 8 4" xfId="1710" xr:uid="{00000000-0005-0000-0000-0000D2160000}"/>
    <cellStyle name="Normal 4 8 4 2" xfId="3940" xr:uid="{00000000-0005-0000-0000-0000D3160000}"/>
    <cellStyle name="Normal 4 8 4 2 2" xfId="8162" xr:uid="{00000000-0005-0000-0000-0000D4160000}"/>
    <cellStyle name="Normal 4 8 4 2 2 2" xfId="16612" xr:uid="{522E6820-227A-46D7-A397-AD46E095B9B5}"/>
    <cellStyle name="Normal 4 8 4 2 2 3" xfId="25052" xr:uid="{0374B213-1B44-4D4E-9050-BC9B16BC5439}"/>
    <cellStyle name="Normal 4 8 4 2 3" xfId="12394" xr:uid="{ED4D4849-05A0-4A31-B3CC-10FE087A2767}"/>
    <cellStyle name="Normal 4 8 4 2 4" xfId="20835" xr:uid="{BB5844BA-6930-4FF1-9D07-2B24C8EDC917}"/>
    <cellStyle name="Normal 4 8 4 3" xfId="6017" xr:uid="{00000000-0005-0000-0000-0000D5160000}"/>
    <cellStyle name="Normal 4 8 4 3 2" xfId="14467" xr:uid="{5BBCFDDE-CBD6-4225-9EE4-D7E3A69964D1}"/>
    <cellStyle name="Normal 4 8 4 3 3" xfId="22907" xr:uid="{7A0AF426-5BB4-498F-8063-74F0078582D8}"/>
    <cellStyle name="Normal 4 8 4 4" xfId="10249" xr:uid="{C5CD41CE-AE74-4C9C-8407-454CDB4F43D2}"/>
    <cellStyle name="Normal 4 8 4 5" xfId="18690" xr:uid="{644AD0BC-ED41-4A52-8D7F-E31C53627AB6}"/>
    <cellStyle name="Normal 4 8 5" xfId="2124" xr:uid="{00000000-0005-0000-0000-0000D6160000}"/>
    <cellStyle name="Normal 4 8 5 2" xfId="4353" xr:uid="{00000000-0005-0000-0000-0000D7160000}"/>
    <cellStyle name="Normal 4 8 5 2 2" xfId="8575" xr:uid="{00000000-0005-0000-0000-0000D8160000}"/>
    <cellStyle name="Normal 4 8 5 2 2 2" xfId="17025" xr:uid="{F0897164-2C3D-4952-98FB-01F12B53DB02}"/>
    <cellStyle name="Normal 4 8 5 2 2 3" xfId="25465" xr:uid="{30E735D0-929E-4A96-8E98-C03AD489AEB4}"/>
    <cellStyle name="Normal 4 8 5 2 3" xfId="12807" xr:uid="{C65460D8-66CE-4EB7-A019-8CE90CC16908}"/>
    <cellStyle name="Normal 4 8 5 2 4" xfId="21248" xr:uid="{C7255E75-4B79-4AED-869A-7299E191E4BA}"/>
    <cellStyle name="Normal 4 8 5 3" xfId="6430" xr:uid="{00000000-0005-0000-0000-0000D9160000}"/>
    <cellStyle name="Normal 4 8 5 3 2" xfId="14880" xr:uid="{F01E470D-4E23-4981-BEAB-58398439ADD4}"/>
    <cellStyle name="Normal 4 8 5 3 3" xfId="23320" xr:uid="{1C4F9A3D-F5F8-44ED-80B1-74B7813B44A8}"/>
    <cellStyle name="Normal 4 8 5 4" xfId="10662" xr:uid="{531E6BF2-9A21-4BE6-9CAD-049CC556DB24}"/>
    <cellStyle name="Normal 4 8 5 5" xfId="19103" xr:uid="{14ED442A-7AE4-4069-9126-C5C77265838B}"/>
    <cellStyle name="Normal 4 8 6" xfId="2560" xr:uid="{00000000-0005-0000-0000-0000DA160000}"/>
    <cellStyle name="Normal 4 8 6 2" xfId="6843" xr:uid="{00000000-0005-0000-0000-0000DB160000}"/>
    <cellStyle name="Normal 4 8 6 2 2" xfId="15293" xr:uid="{25E7F1AB-18C9-4BDC-AD44-5BE018071F85}"/>
    <cellStyle name="Normal 4 8 6 2 3" xfId="23733" xr:uid="{8B2C0B09-3A47-465E-B5C1-AE662091C1E3}"/>
    <cellStyle name="Normal 4 8 6 3" xfId="11075" xr:uid="{ECD6AA5E-146E-453B-BF8B-9902B8952117}"/>
    <cellStyle name="Normal 4 8 6 4" xfId="19516" xr:uid="{7CC824C9-1C10-44B4-8D53-BD86EA7C8021}"/>
    <cellStyle name="Normal 4 8 7" xfId="4778" xr:uid="{00000000-0005-0000-0000-0000DC160000}"/>
    <cellStyle name="Normal 4 8 7 2" xfId="13228" xr:uid="{F4A44139-EC69-4AA5-B997-7B5B86D8F96A}"/>
    <cellStyle name="Normal 4 8 7 3" xfId="21668" xr:uid="{587A3BE6-4290-41B0-B0C1-806541A47245}"/>
    <cellStyle name="Normal 4 8 8" xfId="9010" xr:uid="{D9967560-67CD-47D4-979E-4C16E8A798C7}"/>
    <cellStyle name="Normal 4 8 9" xfId="17451" xr:uid="{6EE209C6-A69F-49A8-99B6-6BE22BDDA08C}"/>
    <cellStyle name="Normal 4 9" xfId="4715" xr:uid="{00000000-0005-0000-0000-0000DD160000}"/>
    <cellStyle name="Normal 4 9 2" xfId="13165" xr:uid="{ABF23CAA-1B8D-4A56-A009-5541E883A6CB}"/>
    <cellStyle name="Normal 4 9 3" xfId="21605" xr:uid="{E9A36213-914B-4ABD-B5DB-8AAC0C6D69A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DDB43039-738F-4363-8EF4-363391FA1FA7}"/>
    <cellStyle name="Normal 5 10 2 2 3" xfId="25053" xr:uid="{D1778053-F896-4646-88EE-B3A2986ED104}"/>
    <cellStyle name="Normal 5 10 2 3" xfId="12395" xr:uid="{50362798-9BA6-41FA-9E53-2049F7123E12}"/>
    <cellStyle name="Normal 5 10 2 4" xfId="20836" xr:uid="{9557A03E-AF37-47E7-A80C-433EE0C65483}"/>
    <cellStyle name="Normal 5 10 3" xfId="6018" xr:uid="{00000000-0005-0000-0000-0000E2160000}"/>
    <cellStyle name="Normal 5 10 3 2" xfId="14468" xr:uid="{8310130E-906E-4C58-A5CF-9582F5C0B0F6}"/>
    <cellStyle name="Normal 5 10 3 3" xfId="22908" xr:uid="{C2B72766-A2D1-468B-A5D0-D290079C8DAA}"/>
    <cellStyle name="Normal 5 10 4" xfId="10250" xr:uid="{F85F6F26-ADC1-4220-9528-4E8F9D0BDEA5}"/>
    <cellStyle name="Normal 5 10 5" xfId="18691" xr:uid="{B24A0358-D388-4360-9C35-D24910286290}"/>
    <cellStyle name="Normal 5 11" xfId="2125" xr:uid="{00000000-0005-0000-0000-0000E3160000}"/>
    <cellStyle name="Normal 5 11 2" xfId="4354" xr:uid="{00000000-0005-0000-0000-0000E4160000}"/>
    <cellStyle name="Normal 5 11 2 2" xfId="8576" xr:uid="{00000000-0005-0000-0000-0000E5160000}"/>
    <cellStyle name="Normal 5 11 2 2 2" xfId="17026" xr:uid="{00C23DB3-8F4D-43E8-844B-02F2A943B33A}"/>
    <cellStyle name="Normal 5 11 2 2 3" xfId="25466" xr:uid="{2DF7E314-6C6D-4ADF-81FE-A75B85F130A2}"/>
    <cellStyle name="Normal 5 11 2 3" xfId="12808" xr:uid="{730CC3D8-880D-46B4-BC40-C4C76ABCF7C4}"/>
    <cellStyle name="Normal 5 11 2 4" xfId="21249" xr:uid="{C43D5000-89D0-49B8-BBC9-954ADFF59B9E}"/>
    <cellStyle name="Normal 5 11 3" xfId="6431" xr:uid="{00000000-0005-0000-0000-0000E6160000}"/>
    <cellStyle name="Normal 5 11 3 2" xfId="14881" xr:uid="{DA350AEE-C137-4A91-B2AE-0FB363AD9731}"/>
    <cellStyle name="Normal 5 11 3 3" xfId="23321" xr:uid="{0431713B-1D46-42D8-A4FE-F2044611BE2D}"/>
    <cellStyle name="Normal 5 11 4" xfId="10663" xr:uid="{31FD55F9-2A66-4B62-8151-4B9B62D6FABD}"/>
    <cellStyle name="Normal 5 11 5" xfId="19104" xr:uid="{DEE06E29-BA36-41B6-98B2-98DB914FA0DB}"/>
    <cellStyle name="Normal 5 12" xfId="2561" xr:uid="{00000000-0005-0000-0000-0000E7160000}"/>
    <cellStyle name="Normal 5 12 2" xfId="6844" xr:uid="{00000000-0005-0000-0000-0000E8160000}"/>
    <cellStyle name="Normal 5 12 2 2" xfId="15294" xr:uid="{4590F714-34CE-4596-BFE7-AAAB306BE830}"/>
    <cellStyle name="Normal 5 12 2 3" xfId="23734" xr:uid="{33B93A59-EC3F-4C0F-87B6-24B2893862E5}"/>
    <cellStyle name="Normal 5 12 3" xfId="11076" xr:uid="{2C9D5ADA-DA24-42A6-901D-ABE151F83845}"/>
    <cellStyle name="Normal 5 12 4" xfId="19517" xr:uid="{3D3A5071-B2ED-4C0C-A0BD-E0C10A5636BC}"/>
    <cellStyle name="Normal 5 13" xfId="4779" xr:uid="{00000000-0005-0000-0000-0000E9160000}"/>
    <cellStyle name="Normal 5 13 2" xfId="13229" xr:uid="{F0F572D3-3AC3-4995-A2C0-32ABC500E22E}"/>
    <cellStyle name="Normal 5 13 3" xfId="21669" xr:uid="{E89E3C18-DF66-45EA-A49A-4976300D38DE}"/>
    <cellStyle name="Normal 5 14" xfId="9011" xr:uid="{17BE78EB-FEF6-4730-9346-FC2C0D41BDDC}"/>
    <cellStyle name="Normal 5 15" xfId="17452" xr:uid="{943D5C6B-CA9C-4FCF-9A47-ED303C924B04}"/>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84F37710-81F6-4C08-A429-0B0E2DE1729B}"/>
    <cellStyle name="Normal 5 2 10 2 2 3" xfId="25467" xr:uid="{179691C2-01EC-48F8-A9B2-3F5032C6E926}"/>
    <cellStyle name="Normal 5 2 10 2 3" xfId="12809" xr:uid="{29D1309B-6054-4D2F-A480-443382F25F3E}"/>
    <cellStyle name="Normal 5 2 10 2 4" xfId="21250" xr:uid="{E7482FCE-74A1-4A43-ABF2-0EA0D9001C32}"/>
    <cellStyle name="Normal 5 2 10 3" xfId="6432" xr:uid="{00000000-0005-0000-0000-0000EE160000}"/>
    <cellStyle name="Normal 5 2 10 3 2" xfId="14882" xr:uid="{7AAFA5C8-5631-4B3A-9C56-BE9058530938}"/>
    <cellStyle name="Normal 5 2 10 3 3" xfId="23322" xr:uid="{55829BED-2D36-44ED-9FC6-6B6E8D7568FA}"/>
    <cellStyle name="Normal 5 2 10 4" xfId="10664" xr:uid="{3C770FD6-0A37-4FF1-AE5D-6A2B4642B683}"/>
    <cellStyle name="Normal 5 2 10 5" xfId="19105" xr:uid="{A06B355B-6CA7-4B82-84F4-15F5BF246BC9}"/>
    <cellStyle name="Normal 5 2 11" xfId="2562" xr:uid="{00000000-0005-0000-0000-0000EF160000}"/>
    <cellStyle name="Normal 5 2 11 2" xfId="6845" xr:uid="{00000000-0005-0000-0000-0000F0160000}"/>
    <cellStyle name="Normal 5 2 11 2 2" xfId="15295" xr:uid="{F1E04839-7CF4-4D41-9C75-F401F3BAD176}"/>
    <cellStyle name="Normal 5 2 11 2 3" xfId="23735" xr:uid="{03601FFF-DF0B-43BC-A2F4-F3B634966D3A}"/>
    <cellStyle name="Normal 5 2 11 3" xfId="11077" xr:uid="{8B4B8C60-E0E1-4B8F-9661-7C9712F70C3B}"/>
    <cellStyle name="Normal 5 2 11 4" xfId="19518" xr:uid="{847EDE02-EDE6-46DC-96F1-AF153FDB83F7}"/>
    <cellStyle name="Normal 5 2 12" xfId="4780" xr:uid="{00000000-0005-0000-0000-0000F1160000}"/>
    <cellStyle name="Normal 5 2 12 2" xfId="13230" xr:uid="{3C5F23A2-4D9C-42BC-B9CE-C6AE018F7D8D}"/>
    <cellStyle name="Normal 5 2 12 3" xfId="21670" xr:uid="{3F2A22EE-BA8B-4106-84CE-FDDBD4D9EC8F}"/>
    <cellStyle name="Normal 5 2 13" xfId="9012" xr:uid="{86217320-AE58-404A-BA11-51A7E74281B2}"/>
    <cellStyle name="Normal 5 2 14" xfId="17453" xr:uid="{FADE280C-6AED-4A85-93CE-EBDE078567F9}"/>
    <cellStyle name="Normal 5 2 2" xfId="408" xr:uid="{00000000-0005-0000-0000-0000F2160000}"/>
    <cellStyle name="Normal 5 2 2 10" xfId="2563" xr:uid="{00000000-0005-0000-0000-0000F3160000}"/>
    <cellStyle name="Normal 5 2 2 10 2" xfId="6846" xr:uid="{00000000-0005-0000-0000-0000F4160000}"/>
    <cellStyle name="Normal 5 2 2 10 2 2" xfId="15296" xr:uid="{69BFFA13-77B5-4F1E-82E3-A649DC15BA91}"/>
    <cellStyle name="Normal 5 2 2 10 2 3" xfId="23736" xr:uid="{3D3CE833-B895-4657-B343-8F6200326DFC}"/>
    <cellStyle name="Normal 5 2 2 10 3" xfId="11078" xr:uid="{664B05A2-FC3E-4B16-8201-1C5648EE7D02}"/>
    <cellStyle name="Normal 5 2 2 10 4" xfId="19519" xr:uid="{FC04D9C0-5488-4310-AE57-0784B9A60B98}"/>
    <cellStyle name="Normal 5 2 2 11" xfId="4781" xr:uid="{00000000-0005-0000-0000-0000F5160000}"/>
    <cellStyle name="Normal 5 2 2 11 2" xfId="13231" xr:uid="{CA1DE220-4992-458D-AB92-15B05FF7F2B1}"/>
    <cellStyle name="Normal 5 2 2 11 3" xfId="21671" xr:uid="{8A5BF823-5183-4A89-AA11-227A413EB231}"/>
    <cellStyle name="Normal 5 2 2 12" xfId="9013" xr:uid="{C676218D-A128-44F1-AB8A-CACAF13D7C88}"/>
    <cellStyle name="Normal 5 2 2 13" xfId="17454" xr:uid="{6E412478-7808-4E85-983B-4DC8472B6420}"/>
    <cellStyle name="Normal 5 2 2 2" xfId="409" xr:uid="{00000000-0005-0000-0000-0000F6160000}"/>
    <cellStyle name="Normal 5 2 2 2 10" xfId="4782" xr:uid="{00000000-0005-0000-0000-0000F7160000}"/>
    <cellStyle name="Normal 5 2 2 2 10 2" xfId="13232" xr:uid="{3F59B4C6-49C1-489C-96C5-949BFC204E5B}"/>
    <cellStyle name="Normal 5 2 2 2 10 3" xfId="21672" xr:uid="{E6FB7180-8885-4C3E-90BE-C34894B0D92C}"/>
    <cellStyle name="Normal 5 2 2 2 11" xfId="9014" xr:uid="{86D4AFE8-FC54-4D3D-AAA5-67C39B7991F1}"/>
    <cellStyle name="Normal 5 2 2 2 12" xfId="17455" xr:uid="{8F32ECFF-759D-438F-A50D-5BC2B0CAEC43}"/>
    <cellStyle name="Normal 5 2 2 2 2" xfId="410" xr:uid="{00000000-0005-0000-0000-0000F8160000}"/>
    <cellStyle name="Normal 5 2 2 2 2 10" xfId="9015" xr:uid="{6A46E9C1-EBFD-447E-8EAE-3DC70113D3E9}"/>
    <cellStyle name="Normal 5 2 2 2 2 11" xfId="17456" xr:uid="{83BD0621-740A-4977-A7D5-7190C9C1FDE9}"/>
    <cellStyle name="Normal 5 2 2 2 2 2" xfId="411" xr:uid="{00000000-0005-0000-0000-0000F9160000}"/>
    <cellStyle name="Normal 5 2 2 2 2 2 10" xfId="17457" xr:uid="{23A02FEA-5150-4934-BD9F-16817E5BE3C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449FBF5E-09B5-4211-8CBD-7810EF879A5A}"/>
    <cellStyle name="Normal 5 2 2 2 2 2 2 2 2 2 3" xfId="24233" xr:uid="{100D9606-9070-47F8-9374-5040BFC38D24}"/>
    <cellStyle name="Normal 5 2 2 2 2 2 2 2 2 3" xfId="11575" xr:uid="{D1AA11E3-34A2-4EA9-BD46-3916290E1370}"/>
    <cellStyle name="Normal 5 2 2 2 2 2 2 2 2 4" xfId="20016" xr:uid="{AEFB24F7-0657-4145-8FEB-173175254AEB}"/>
    <cellStyle name="Normal 5 2 2 2 2 2 2 2 3" xfId="5198" xr:uid="{00000000-0005-0000-0000-0000FE160000}"/>
    <cellStyle name="Normal 5 2 2 2 2 2 2 2 3 2" xfId="13648" xr:uid="{2B3DF8B8-E50D-41C2-A8E0-E1B8B47DA4A9}"/>
    <cellStyle name="Normal 5 2 2 2 2 2 2 2 3 3" xfId="22088" xr:uid="{F9FECFD6-CAE0-457E-8B7B-DB8E8E9880E5}"/>
    <cellStyle name="Normal 5 2 2 2 2 2 2 2 4" xfId="9430" xr:uid="{5A461D10-5086-4DAE-96D7-864B57C8A8D0}"/>
    <cellStyle name="Normal 5 2 2 2 2 2 2 2 5" xfId="17871" xr:uid="{987E811B-9084-4316-8ECC-306C2546CA5A}"/>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0F79E8D7-9055-4E1D-869E-F0403DC79388}"/>
    <cellStyle name="Normal 5 2 2 2 2 2 2 3 2 2 3" xfId="24646" xr:uid="{54DFF42D-9A05-4B29-92AE-2443C672F5A6}"/>
    <cellStyle name="Normal 5 2 2 2 2 2 2 3 2 3" xfId="11988" xr:uid="{E76CD3EC-B433-41A5-AB21-4E2DB7773788}"/>
    <cellStyle name="Normal 5 2 2 2 2 2 2 3 2 4" xfId="20429" xr:uid="{EC1DF263-E104-4FBE-9D8C-809598CD25B7}"/>
    <cellStyle name="Normal 5 2 2 2 2 2 2 3 3" xfId="5611" xr:uid="{00000000-0005-0000-0000-000002170000}"/>
    <cellStyle name="Normal 5 2 2 2 2 2 2 3 3 2" xfId="14061" xr:uid="{76BA397F-AD89-4347-8FF8-C2FD2334E7EE}"/>
    <cellStyle name="Normal 5 2 2 2 2 2 2 3 3 3" xfId="22501" xr:uid="{2AD07910-BE17-40AE-B89B-B893F080B390}"/>
    <cellStyle name="Normal 5 2 2 2 2 2 2 3 4" xfId="9843" xr:uid="{25503B07-4800-4A98-9A6D-89A5308F181C}"/>
    <cellStyle name="Normal 5 2 2 2 2 2 2 3 5" xfId="18284" xr:uid="{0BD395E5-3F86-4C1F-9014-5AC646A36ACE}"/>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93279A73-6A62-4582-8E62-671B519C52DA}"/>
    <cellStyle name="Normal 5 2 2 2 2 2 2 4 2 2 3" xfId="25059" xr:uid="{F0EFB38D-AC8B-4215-90F6-8AB5C3BFC9BC}"/>
    <cellStyle name="Normal 5 2 2 2 2 2 2 4 2 3" xfId="12401" xr:uid="{537956D7-FFDD-4B26-B000-CFB2A05BA297}"/>
    <cellStyle name="Normal 5 2 2 2 2 2 2 4 2 4" xfId="20842" xr:uid="{45FE6800-93D1-41C4-8CD7-D62A6B87C4C8}"/>
    <cellStyle name="Normal 5 2 2 2 2 2 2 4 3" xfId="6024" xr:uid="{00000000-0005-0000-0000-000006170000}"/>
    <cellStyle name="Normal 5 2 2 2 2 2 2 4 3 2" xfId="14474" xr:uid="{EADD0CB3-93BE-4603-988D-D298B1AC558D}"/>
    <cellStyle name="Normal 5 2 2 2 2 2 2 4 3 3" xfId="22914" xr:uid="{312EF316-274D-4582-A49E-50CFBEE49C9E}"/>
    <cellStyle name="Normal 5 2 2 2 2 2 2 4 4" xfId="10256" xr:uid="{B3EB6D46-741C-4AF2-8A7E-4611B00ED9C7}"/>
    <cellStyle name="Normal 5 2 2 2 2 2 2 4 5" xfId="18697" xr:uid="{B1E448BD-8114-4E20-9208-E1C4AC8D1F5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FA3A83C7-A00F-45B7-9061-FED827C170D4}"/>
    <cellStyle name="Normal 5 2 2 2 2 2 2 5 2 2 3" xfId="25472" xr:uid="{D2A19307-5748-4286-9FAB-48C52B6E27F2}"/>
    <cellStyle name="Normal 5 2 2 2 2 2 2 5 2 3" xfId="12814" xr:uid="{56112B6D-C69E-4CC6-A75A-E3E454DE0E78}"/>
    <cellStyle name="Normal 5 2 2 2 2 2 2 5 2 4" xfId="21255" xr:uid="{3FFE4DD2-53D1-4980-8F39-06DE9F96AEC1}"/>
    <cellStyle name="Normal 5 2 2 2 2 2 2 5 3" xfId="6437" xr:uid="{00000000-0005-0000-0000-00000A170000}"/>
    <cellStyle name="Normal 5 2 2 2 2 2 2 5 3 2" xfId="14887" xr:uid="{49B0525E-2C9C-48CB-BACC-9D81A371618B}"/>
    <cellStyle name="Normal 5 2 2 2 2 2 2 5 3 3" xfId="23327" xr:uid="{0A0F0791-8D7B-4C63-BA06-648FBA08A031}"/>
    <cellStyle name="Normal 5 2 2 2 2 2 2 5 4" xfId="10669" xr:uid="{FC97AE91-B8B9-4F67-B20C-A6DA33398302}"/>
    <cellStyle name="Normal 5 2 2 2 2 2 2 5 5" xfId="19110" xr:uid="{8077A4C8-724B-4E20-952C-EC4DC254D597}"/>
    <cellStyle name="Normal 5 2 2 2 2 2 2 6" xfId="2567" xr:uid="{00000000-0005-0000-0000-00000B170000}"/>
    <cellStyle name="Normal 5 2 2 2 2 2 2 6 2" xfId="6850" xr:uid="{00000000-0005-0000-0000-00000C170000}"/>
    <cellStyle name="Normal 5 2 2 2 2 2 2 6 2 2" xfId="15300" xr:uid="{C625257F-3C9D-42DA-A467-9ECAB74CB3D0}"/>
    <cellStyle name="Normal 5 2 2 2 2 2 2 6 2 3" xfId="23740" xr:uid="{43732A26-3BE0-43F6-BDD7-C1B3FBDE260A}"/>
    <cellStyle name="Normal 5 2 2 2 2 2 2 6 3" xfId="11082" xr:uid="{BF69EC26-EBB8-4368-9696-8CD64D6EC5E9}"/>
    <cellStyle name="Normal 5 2 2 2 2 2 2 6 4" xfId="19523" xr:uid="{AF264F82-D7DF-44F5-8258-23F031934D70}"/>
    <cellStyle name="Normal 5 2 2 2 2 2 2 7" xfId="4785" xr:uid="{00000000-0005-0000-0000-00000D170000}"/>
    <cellStyle name="Normal 5 2 2 2 2 2 2 7 2" xfId="13235" xr:uid="{F9A5C0DA-07AE-4AD6-B675-92DA9FB662A7}"/>
    <cellStyle name="Normal 5 2 2 2 2 2 2 7 3" xfId="21675" xr:uid="{3AEC6BAD-FC91-405D-924A-109BB1B2A839}"/>
    <cellStyle name="Normal 5 2 2 2 2 2 2 8" xfId="9017" xr:uid="{2ABF6BEF-42B7-4372-A9C9-85302A5896B7}"/>
    <cellStyle name="Normal 5 2 2 2 2 2 2 9" xfId="17458" xr:uid="{2E1DE945-E566-419B-848B-A940A39769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C6B90D95-36A5-43BD-B2E9-72E2868FD2E1}"/>
    <cellStyle name="Normal 5 2 2 2 2 2 3 2 2 3" xfId="24232" xr:uid="{FFEFF16B-9D88-4006-960E-D0CBD587619A}"/>
    <cellStyle name="Normal 5 2 2 2 2 2 3 2 3" xfId="11574" xr:uid="{CEF62ED9-DF47-4EE4-A234-2B62461C33BF}"/>
    <cellStyle name="Normal 5 2 2 2 2 2 3 2 4" xfId="20015" xr:uid="{FA6D1A66-10AE-4E62-92D5-8CEB463243B5}"/>
    <cellStyle name="Normal 5 2 2 2 2 2 3 3" xfId="5197" xr:uid="{00000000-0005-0000-0000-000011170000}"/>
    <cellStyle name="Normal 5 2 2 2 2 2 3 3 2" xfId="13647" xr:uid="{D0DD7961-293D-4DE6-A356-6B79A15BAF39}"/>
    <cellStyle name="Normal 5 2 2 2 2 2 3 3 3" xfId="22087" xr:uid="{DD6436F2-8173-4494-955F-E11BA4CA692A}"/>
    <cellStyle name="Normal 5 2 2 2 2 2 3 4" xfId="9429" xr:uid="{635E27A9-5735-4958-9BA9-C017EBF15A77}"/>
    <cellStyle name="Normal 5 2 2 2 2 2 3 5" xfId="17870" xr:uid="{4F2AFB81-FC4E-4B37-AC12-1083BD4C02D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55F22680-4A32-4773-9B1B-D0A9DFE582C2}"/>
    <cellStyle name="Normal 5 2 2 2 2 2 4 2 2 3" xfId="24645" xr:uid="{BE80A281-58BA-440B-ADF0-A966762729BC}"/>
    <cellStyle name="Normal 5 2 2 2 2 2 4 2 3" xfId="11987" xr:uid="{6CC1D3CE-25F7-49EA-8CD8-EB94D0A7BBD4}"/>
    <cellStyle name="Normal 5 2 2 2 2 2 4 2 4" xfId="20428" xr:uid="{987344C2-7B6F-4E71-B926-AF0FD650E7DD}"/>
    <cellStyle name="Normal 5 2 2 2 2 2 4 3" xfId="5610" xr:uid="{00000000-0005-0000-0000-000015170000}"/>
    <cellStyle name="Normal 5 2 2 2 2 2 4 3 2" xfId="14060" xr:uid="{4F8A52FB-244F-4078-9D8E-99A23C1373D6}"/>
    <cellStyle name="Normal 5 2 2 2 2 2 4 3 3" xfId="22500" xr:uid="{4BB2DB1C-6314-431C-8492-B2A241E20DE3}"/>
    <cellStyle name="Normal 5 2 2 2 2 2 4 4" xfId="9842" xr:uid="{840A0D16-E154-419B-AA34-A7E616CDB1D8}"/>
    <cellStyle name="Normal 5 2 2 2 2 2 4 5" xfId="18283" xr:uid="{44361B20-F1B9-4935-9D8B-41AF3F822018}"/>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C476CA00-3AE6-4596-9215-AE0B73C8E766}"/>
    <cellStyle name="Normal 5 2 2 2 2 2 5 2 2 3" xfId="25058" xr:uid="{EC221392-1906-4EFE-ADF1-B273DAF030F4}"/>
    <cellStyle name="Normal 5 2 2 2 2 2 5 2 3" xfId="12400" xr:uid="{17552FFD-3246-4FDF-8C71-068AB370EE51}"/>
    <cellStyle name="Normal 5 2 2 2 2 2 5 2 4" xfId="20841" xr:uid="{1A66AF9A-852B-4AFB-B6F4-3CFE3A3D627D}"/>
    <cellStyle name="Normal 5 2 2 2 2 2 5 3" xfId="6023" xr:uid="{00000000-0005-0000-0000-000019170000}"/>
    <cellStyle name="Normal 5 2 2 2 2 2 5 3 2" xfId="14473" xr:uid="{EF989C3A-268A-4CE0-971A-C8A6E6BF12BF}"/>
    <cellStyle name="Normal 5 2 2 2 2 2 5 3 3" xfId="22913" xr:uid="{0EFE1BEE-FCDA-4826-B80E-A4C56D649767}"/>
    <cellStyle name="Normal 5 2 2 2 2 2 5 4" xfId="10255" xr:uid="{6A019390-A884-42D8-8404-97C95BCF3873}"/>
    <cellStyle name="Normal 5 2 2 2 2 2 5 5" xfId="18696" xr:uid="{676A2116-8948-4573-9FE8-CC8A5091968A}"/>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859A47C2-E7EE-4752-8A0E-4EE9D39F6433}"/>
    <cellStyle name="Normal 5 2 2 2 2 2 6 2 2 3" xfId="25471" xr:uid="{027B8050-E427-43B3-B1AA-0B7337561D44}"/>
    <cellStyle name="Normal 5 2 2 2 2 2 6 2 3" xfId="12813" xr:uid="{370D6F6F-7679-42C5-95D6-3DBE6BF6478A}"/>
    <cellStyle name="Normal 5 2 2 2 2 2 6 2 4" xfId="21254" xr:uid="{618DFF3B-ACB7-43D4-ADD3-DF507BF28F33}"/>
    <cellStyle name="Normal 5 2 2 2 2 2 6 3" xfId="6436" xr:uid="{00000000-0005-0000-0000-00001D170000}"/>
    <cellStyle name="Normal 5 2 2 2 2 2 6 3 2" xfId="14886" xr:uid="{AE5D8516-6ACB-4DF6-B101-32E6357394B4}"/>
    <cellStyle name="Normal 5 2 2 2 2 2 6 3 3" xfId="23326" xr:uid="{01985056-AB3D-4A8F-90E0-0B691ECE5BC2}"/>
    <cellStyle name="Normal 5 2 2 2 2 2 6 4" xfId="10668" xr:uid="{19678ED6-2E92-4E13-A95C-D73B55A60AF2}"/>
    <cellStyle name="Normal 5 2 2 2 2 2 6 5" xfId="19109" xr:uid="{9E6EC092-1C98-4634-A75A-02311780E188}"/>
    <cellStyle name="Normal 5 2 2 2 2 2 7" xfId="2566" xr:uid="{00000000-0005-0000-0000-00001E170000}"/>
    <cellStyle name="Normal 5 2 2 2 2 2 7 2" xfId="6849" xr:uid="{00000000-0005-0000-0000-00001F170000}"/>
    <cellStyle name="Normal 5 2 2 2 2 2 7 2 2" xfId="15299" xr:uid="{4D7E35BF-DAD8-420F-B254-DA9B074DE66F}"/>
    <cellStyle name="Normal 5 2 2 2 2 2 7 2 3" xfId="23739" xr:uid="{05F479E9-02E0-47EF-9532-7FE01CD1C78A}"/>
    <cellStyle name="Normal 5 2 2 2 2 2 7 3" xfId="11081" xr:uid="{16BCD30D-92F7-4125-9E51-6A844C68C67F}"/>
    <cellStyle name="Normal 5 2 2 2 2 2 7 4" xfId="19522" xr:uid="{F65CB8C0-C155-4CAF-9A7C-B046E4BAB9A7}"/>
    <cellStyle name="Normal 5 2 2 2 2 2 8" xfId="4784" xr:uid="{00000000-0005-0000-0000-000020170000}"/>
    <cellStyle name="Normal 5 2 2 2 2 2 8 2" xfId="13234" xr:uid="{68466423-4CA7-4EC9-8112-8E7FEF1114C8}"/>
    <cellStyle name="Normal 5 2 2 2 2 2 8 3" xfId="21674" xr:uid="{2E7FDB76-12BB-45B6-A6E2-607D8D7336E6}"/>
    <cellStyle name="Normal 5 2 2 2 2 2 9" xfId="9016" xr:uid="{D23EAF30-7BD1-40E5-A13E-F1E08B2B741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9B419540-32AC-4F4D-8BA7-91E07F738003}"/>
    <cellStyle name="Normal 5 2 2 2 2 3 2 2 2 3" xfId="24234" xr:uid="{AC753506-8F98-4914-AED7-67892F37F783}"/>
    <cellStyle name="Normal 5 2 2 2 2 3 2 2 3" xfId="11576" xr:uid="{FC985303-FC7B-4288-A3AB-CACE5275D649}"/>
    <cellStyle name="Normal 5 2 2 2 2 3 2 2 4" xfId="20017" xr:uid="{1E792C2C-C827-4942-8FE6-72248854612F}"/>
    <cellStyle name="Normal 5 2 2 2 2 3 2 3" xfId="5199" xr:uid="{00000000-0005-0000-0000-000025170000}"/>
    <cellStyle name="Normal 5 2 2 2 2 3 2 3 2" xfId="13649" xr:uid="{137FED28-F402-4964-8ECC-889A9F3E3977}"/>
    <cellStyle name="Normal 5 2 2 2 2 3 2 3 3" xfId="22089" xr:uid="{65C81E96-AAE4-4E89-81E9-91FB92E3E7F0}"/>
    <cellStyle name="Normal 5 2 2 2 2 3 2 4" xfId="9431" xr:uid="{99749CF3-481A-415E-A1F2-B9E7359D9E95}"/>
    <cellStyle name="Normal 5 2 2 2 2 3 2 5" xfId="17872" xr:uid="{466D922B-E3CB-497A-A08B-EA1EE8D473CE}"/>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71B59607-0B7C-40A9-9447-D81814DD1961}"/>
    <cellStyle name="Normal 5 2 2 2 2 3 3 2 2 3" xfId="24647" xr:uid="{2D4C21B4-543C-4E9F-951F-4D156332351F}"/>
    <cellStyle name="Normal 5 2 2 2 2 3 3 2 3" xfId="11989" xr:uid="{2B6B0BC2-E566-4A45-AC45-1B5102B42779}"/>
    <cellStyle name="Normal 5 2 2 2 2 3 3 2 4" xfId="20430" xr:uid="{2BF3D625-036D-46F3-AFBF-C146BE53B0CE}"/>
    <cellStyle name="Normal 5 2 2 2 2 3 3 3" xfId="5612" xr:uid="{00000000-0005-0000-0000-000029170000}"/>
    <cellStyle name="Normal 5 2 2 2 2 3 3 3 2" xfId="14062" xr:uid="{8D51A08B-64AE-459A-9F2C-34382F8E4588}"/>
    <cellStyle name="Normal 5 2 2 2 2 3 3 3 3" xfId="22502" xr:uid="{7E1ECF84-E0F3-4DE8-B6D7-6888162B8CEC}"/>
    <cellStyle name="Normal 5 2 2 2 2 3 3 4" xfId="9844" xr:uid="{D7431102-0B9E-4708-98DD-A406BB263AD0}"/>
    <cellStyle name="Normal 5 2 2 2 2 3 3 5" xfId="18285" xr:uid="{16B94628-1D40-40FA-834B-29DFBD06B5F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5B82B046-31FA-4B10-A951-DA93A31D1E7E}"/>
    <cellStyle name="Normal 5 2 2 2 2 3 4 2 2 3" xfId="25060" xr:uid="{9067DFF5-1CEA-43C0-9B80-21359D35E92E}"/>
    <cellStyle name="Normal 5 2 2 2 2 3 4 2 3" xfId="12402" xr:uid="{6A8836C2-C48A-4908-99D7-94385E6A170D}"/>
    <cellStyle name="Normal 5 2 2 2 2 3 4 2 4" xfId="20843" xr:uid="{3FA833F0-C846-48B4-A8EA-D49CC7F8621B}"/>
    <cellStyle name="Normal 5 2 2 2 2 3 4 3" xfId="6025" xr:uid="{00000000-0005-0000-0000-00002D170000}"/>
    <cellStyle name="Normal 5 2 2 2 2 3 4 3 2" xfId="14475" xr:uid="{BA5C1C32-0EE1-435E-8D1C-E841B1DA54F3}"/>
    <cellStyle name="Normal 5 2 2 2 2 3 4 3 3" xfId="22915" xr:uid="{17FFC8E4-F281-4416-BACA-38DBA01FCD76}"/>
    <cellStyle name="Normal 5 2 2 2 2 3 4 4" xfId="10257" xr:uid="{A57B9D00-4070-4BDC-A612-091C3DC254C9}"/>
    <cellStyle name="Normal 5 2 2 2 2 3 4 5" xfId="18698" xr:uid="{BFFB8196-0E5E-4D40-950D-76F21D907B35}"/>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316CDE6D-9AB1-4B2B-916D-8600B4D25F61}"/>
    <cellStyle name="Normal 5 2 2 2 2 3 5 2 2 3" xfId="25473" xr:uid="{06577E3B-AB57-485D-A4BF-B29763909B27}"/>
    <cellStyle name="Normal 5 2 2 2 2 3 5 2 3" xfId="12815" xr:uid="{58F5B1C4-400D-4D05-9CCD-6500E8DFC900}"/>
    <cellStyle name="Normal 5 2 2 2 2 3 5 2 4" xfId="21256" xr:uid="{238C2DDF-B1CA-4FFD-B6D7-15BEB4DB6120}"/>
    <cellStyle name="Normal 5 2 2 2 2 3 5 3" xfId="6438" xr:uid="{00000000-0005-0000-0000-000031170000}"/>
    <cellStyle name="Normal 5 2 2 2 2 3 5 3 2" xfId="14888" xr:uid="{9FDA0D25-6F86-41C3-A7DA-E0045028625D}"/>
    <cellStyle name="Normal 5 2 2 2 2 3 5 3 3" xfId="23328" xr:uid="{BAAD7E3A-98D9-491C-B194-FA937212BE43}"/>
    <cellStyle name="Normal 5 2 2 2 2 3 5 4" xfId="10670" xr:uid="{0DB8EDE3-F816-4C4E-ADCA-20E49ABC928B}"/>
    <cellStyle name="Normal 5 2 2 2 2 3 5 5" xfId="19111" xr:uid="{E91CDAD3-B0A1-4423-84A7-DD440F1D009A}"/>
    <cellStyle name="Normal 5 2 2 2 2 3 6" xfId="2568" xr:uid="{00000000-0005-0000-0000-000032170000}"/>
    <cellStyle name="Normal 5 2 2 2 2 3 6 2" xfId="6851" xr:uid="{00000000-0005-0000-0000-000033170000}"/>
    <cellStyle name="Normal 5 2 2 2 2 3 6 2 2" xfId="15301" xr:uid="{8F0C298F-BFFC-471A-9B81-DEA932D708D9}"/>
    <cellStyle name="Normal 5 2 2 2 2 3 6 2 3" xfId="23741" xr:uid="{81F248F9-79C0-496C-B928-C506C68C667E}"/>
    <cellStyle name="Normal 5 2 2 2 2 3 6 3" xfId="11083" xr:uid="{AD9CC65D-E2CC-4766-AFD8-FF81AC0A81AB}"/>
    <cellStyle name="Normal 5 2 2 2 2 3 6 4" xfId="19524" xr:uid="{181778F9-1BB9-4EB3-8B36-4066FF64665A}"/>
    <cellStyle name="Normal 5 2 2 2 2 3 7" xfId="4786" xr:uid="{00000000-0005-0000-0000-000034170000}"/>
    <cellStyle name="Normal 5 2 2 2 2 3 7 2" xfId="13236" xr:uid="{57FB5A40-246F-4172-B59F-0055882F1E58}"/>
    <cellStyle name="Normal 5 2 2 2 2 3 7 3" xfId="21676" xr:uid="{BD58FA24-F42F-41BA-8C49-AFDD91747210}"/>
    <cellStyle name="Normal 5 2 2 2 2 3 8" xfId="9018" xr:uid="{8148BB29-DD37-49BD-9CF5-DA0230372789}"/>
    <cellStyle name="Normal 5 2 2 2 2 3 9" xfId="17459" xr:uid="{657A86C7-C503-4F2D-BFEC-9757AF9BF795}"/>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08696AD1-E8AB-4241-8E0B-C7FDADE983FC}"/>
    <cellStyle name="Normal 5 2 2 2 2 4 2 2 3" xfId="24231" xr:uid="{517AA34F-B95A-48CA-A7E1-3E002A722CAD}"/>
    <cellStyle name="Normal 5 2 2 2 2 4 2 3" xfId="11573" xr:uid="{1087CFE9-2CFC-4C49-B993-B35996CED87C}"/>
    <cellStyle name="Normal 5 2 2 2 2 4 2 4" xfId="20014" xr:uid="{9EA460FF-8D1C-411F-9E4E-4CB7854B1E35}"/>
    <cellStyle name="Normal 5 2 2 2 2 4 3" xfId="5196" xr:uid="{00000000-0005-0000-0000-000038170000}"/>
    <cellStyle name="Normal 5 2 2 2 2 4 3 2" xfId="13646" xr:uid="{A7170E7B-BB7D-4A23-A8C3-F258013E5CCB}"/>
    <cellStyle name="Normal 5 2 2 2 2 4 3 3" xfId="22086" xr:uid="{CEE5B382-B4C0-4FDA-8B23-0B0C05F13001}"/>
    <cellStyle name="Normal 5 2 2 2 2 4 4" xfId="9428" xr:uid="{B8D134D8-B3C7-48EA-B25C-F715F88D802D}"/>
    <cellStyle name="Normal 5 2 2 2 2 4 5" xfId="17869" xr:uid="{2B70658F-8806-42FA-8584-D84337A31FD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51D3678F-7005-42D9-808D-F295DCE0C4D3}"/>
    <cellStyle name="Normal 5 2 2 2 2 5 2 2 3" xfId="24644" xr:uid="{6B61F82A-592D-4DDC-A894-10F713FF7B7E}"/>
    <cellStyle name="Normal 5 2 2 2 2 5 2 3" xfId="11986" xr:uid="{CC065B3C-3E0C-46E1-B381-D46C22F366BA}"/>
    <cellStyle name="Normal 5 2 2 2 2 5 2 4" xfId="20427" xr:uid="{D10CC91E-D7B2-4541-9712-B52373F8BDAE}"/>
    <cellStyle name="Normal 5 2 2 2 2 5 3" xfId="5609" xr:uid="{00000000-0005-0000-0000-00003C170000}"/>
    <cellStyle name="Normal 5 2 2 2 2 5 3 2" xfId="14059" xr:uid="{D9B9FFB5-4CA6-477A-AE5D-9ACF46CAC2FB}"/>
    <cellStyle name="Normal 5 2 2 2 2 5 3 3" xfId="22499" xr:uid="{4C1A8B09-BAC5-4186-BE71-D41502CF5CC7}"/>
    <cellStyle name="Normal 5 2 2 2 2 5 4" xfId="9841" xr:uid="{32E514D3-F0F7-472A-B7DF-3FFD58925091}"/>
    <cellStyle name="Normal 5 2 2 2 2 5 5" xfId="18282" xr:uid="{C1EB8B78-5494-417D-9405-9568C0265F4D}"/>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7694276B-AA86-469E-909F-20409BF8EC73}"/>
    <cellStyle name="Normal 5 2 2 2 2 6 2 2 3" xfId="25057" xr:uid="{51513A57-E880-49B7-9479-CC8D272F9C5E}"/>
    <cellStyle name="Normal 5 2 2 2 2 6 2 3" xfId="12399" xr:uid="{25B509FC-8D18-45EA-B9E1-2EB04671B5DF}"/>
    <cellStyle name="Normal 5 2 2 2 2 6 2 4" xfId="20840" xr:uid="{39825784-483C-433E-8EF7-DE62161DC9FA}"/>
    <cellStyle name="Normal 5 2 2 2 2 6 3" xfId="6022" xr:uid="{00000000-0005-0000-0000-000040170000}"/>
    <cellStyle name="Normal 5 2 2 2 2 6 3 2" xfId="14472" xr:uid="{F5263086-773B-49CC-B645-E8C6A9D61615}"/>
    <cellStyle name="Normal 5 2 2 2 2 6 3 3" xfId="22912" xr:uid="{8CC53480-1D81-42C0-A84D-5984D979C069}"/>
    <cellStyle name="Normal 5 2 2 2 2 6 4" xfId="10254" xr:uid="{35BFEB48-A580-4952-94E2-F0FC5F68313D}"/>
    <cellStyle name="Normal 5 2 2 2 2 6 5" xfId="18695" xr:uid="{5D95E83D-78CA-46E1-8A52-F64EB4252EC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58D0B677-3D43-434E-9295-24E1DE8561D9}"/>
    <cellStyle name="Normal 5 2 2 2 2 7 2 2 3" xfId="25470" xr:uid="{B00FF165-F38F-48AD-937E-76E32DEEA9AA}"/>
    <cellStyle name="Normal 5 2 2 2 2 7 2 3" xfId="12812" xr:uid="{970EABEB-8FF3-4BF0-BF1D-A54B953A2FE1}"/>
    <cellStyle name="Normal 5 2 2 2 2 7 2 4" xfId="21253" xr:uid="{39AEF2EC-669E-4A65-9BEF-2ECBE32B220B}"/>
    <cellStyle name="Normal 5 2 2 2 2 7 3" xfId="6435" xr:uid="{00000000-0005-0000-0000-000044170000}"/>
    <cellStyle name="Normal 5 2 2 2 2 7 3 2" xfId="14885" xr:uid="{F3D1BC7F-8B5D-4B03-9B8D-FD382ADA85AB}"/>
    <cellStyle name="Normal 5 2 2 2 2 7 3 3" xfId="23325" xr:uid="{41CD5750-9250-4C51-AB73-D17CDE1542D2}"/>
    <cellStyle name="Normal 5 2 2 2 2 7 4" xfId="10667" xr:uid="{F162E9C5-A925-47AD-A591-11B959871AEC}"/>
    <cellStyle name="Normal 5 2 2 2 2 7 5" xfId="19108" xr:uid="{88C46284-AF99-42A2-B108-B71B27BF6B66}"/>
    <cellStyle name="Normal 5 2 2 2 2 8" xfId="2565" xr:uid="{00000000-0005-0000-0000-000045170000}"/>
    <cellStyle name="Normal 5 2 2 2 2 8 2" xfId="6848" xr:uid="{00000000-0005-0000-0000-000046170000}"/>
    <cellStyle name="Normal 5 2 2 2 2 8 2 2" xfId="15298" xr:uid="{1E95ACC6-0DE4-4CD2-9E2B-FEA0EB714506}"/>
    <cellStyle name="Normal 5 2 2 2 2 8 2 3" xfId="23738" xr:uid="{F453679A-810B-4894-9FB5-95291B74A090}"/>
    <cellStyle name="Normal 5 2 2 2 2 8 3" xfId="11080" xr:uid="{6A4E1BF4-ED6C-44C4-9E69-ECC5E9696AFD}"/>
    <cellStyle name="Normal 5 2 2 2 2 8 4" xfId="19521" xr:uid="{99997CD6-BFCE-401B-9617-56D2775D2A0A}"/>
    <cellStyle name="Normal 5 2 2 2 2 9" xfId="4783" xr:uid="{00000000-0005-0000-0000-000047170000}"/>
    <cellStyle name="Normal 5 2 2 2 2 9 2" xfId="13233" xr:uid="{5D5477B2-78DB-4522-8168-D85C3A6465A9}"/>
    <cellStyle name="Normal 5 2 2 2 2 9 3" xfId="21673" xr:uid="{B2B4DAC2-B974-4D66-BC82-AF0275AC2378}"/>
    <cellStyle name="Normal 5 2 2 2 3" xfId="414" xr:uid="{00000000-0005-0000-0000-000048170000}"/>
    <cellStyle name="Normal 5 2 2 2 3 10" xfId="17460" xr:uid="{2CF90683-9DA7-4FAD-962D-1E745709B082}"/>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D4FF0B2B-8367-4A17-82A9-5A6E5ABE8F4E}"/>
    <cellStyle name="Normal 5 2 2 2 3 2 2 2 2 3" xfId="24236" xr:uid="{501A52B9-B977-4360-8BE4-C0106C51CCA8}"/>
    <cellStyle name="Normal 5 2 2 2 3 2 2 2 3" xfId="11578" xr:uid="{F2F213A0-67D6-45C7-9D05-DCE1733D0435}"/>
    <cellStyle name="Normal 5 2 2 2 3 2 2 2 4" xfId="20019" xr:uid="{08F75FE9-6158-4135-A499-365D71B91B4A}"/>
    <cellStyle name="Normal 5 2 2 2 3 2 2 3" xfId="5201" xr:uid="{00000000-0005-0000-0000-00004D170000}"/>
    <cellStyle name="Normal 5 2 2 2 3 2 2 3 2" xfId="13651" xr:uid="{391B6514-F4F0-412B-9FD6-166D378FB3A7}"/>
    <cellStyle name="Normal 5 2 2 2 3 2 2 3 3" xfId="22091" xr:uid="{569BD730-EE33-4722-9371-81A32343E64F}"/>
    <cellStyle name="Normal 5 2 2 2 3 2 2 4" xfId="9433" xr:uid="{531DB635-C296-4381-94E0-4792AEAF8AD1}"/>
    <cellStyle name="Normal 5 2 2 2 3 2 2 5" xfId="17874" xr:uid="{1EFAD340-361E-45A4-A22F-E1C20B19E584}"/>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D5C845B9-5923-4E0C-A325-E123CA1A8CAB}"/>
    <cellStyle name="Normal 5 2 2 2 3 2 3 2 2 3" xfId="24649" xr:uid="{7CC58957-7C58-40EC-B91F-ED44618B2A90}"/>
    <cellStyle name="Normal 5 2 2 2 3 2 3 2 3" xfId="11991" xr:uid="{115D5188-BB53-41F7-9B06-01E452EB7F97}"/>
    <cellStyle name="Normal 5 2 2 2 3 2 3 2 4" xfId="20432" xr:uid="{861EB83E-F1B5-4477-8643-C52A4A48C1C7}"/>
    <cellStyle name="Normal 5 2 2 2 3 2 3 3" xfId="5614" xr:uid="{00000000-0005-0000-0000-000051170000}"/>
    <cellStyle name="Normal 5 2 2 2 3 2 3 3 2" xfId="14064" xr:uid="{DE3EB438-6084-473E-A1FD-AB826527BB0D}"/>
    <cellStyle name="Normal 5 2 2 2 3 2 3 3 3" xfId="22504" xr:uid="{6D78C334-6885-4F9E-8422-1CD495D75DAB}"/>
    <cellStyle name="Normal 5 2 2 2 3 2 3 4" xfId="9846" xr:uid="{20F27AA9-CA41-4E5B-A214-56FE601DE14B}"/>
    <cellStyle name="Normal 5 2 2 2 3 2 3 5" xfId="18287" xr:uid="{4D5F96E3-E602-40DD-BD5C-799578E17C7D}"/>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79F3E754-3F43-4B3F-BF31-2566BF6920D2}"/>
    <cellStyle name="Normal 5 2 2 2 3 2 4 2 2 3" xfId="25062" xr:uid="{BC98E19B-0B77-41FF-AF25-744B9B2055EB}"/>
    <cellStyle name="Normal 5 2 2 2 3 2 4 2 3" xfId="12404" xr:uid="{023BB9CE-5CA2-4C00-A8A4-B046142426FC}"/>
    <cellStyle name="Normal 5 2 2 2 3 2 4 2 4" xfId="20845" xr:uid="{926CD6CA-3F5C-48A0-8B9F-D7E44937A6CE}"/>
    <cellStyle name="Normal 5 2 2 2 3 2 4 3" xfId="6027" xr:uid="{00000000-0005-0000-0000-000055170000}"/>
    <cellStyle name="Normal 5 2 2 2 3 2 4 3 2" xfId="14477" xr:uid="{D7EBFF88-3954-4B4F-B960-F30CE5FFD5F4}"/>
    <cellStyle name="Normal 5 2 2 2 3 2 4 3 3" xfId="22917" xr:uid="{0E7C207C-720E-476C-82F3-9611B114E173}"/>
    <cellStyle name="Normal 5 2 2 2 3 2 4 4" xfId="10259" xr:uid="{109495C3-1F35-4805-9C67-B93DF32BEE66}"/>
    <cellStyle name="Normal 5 2 2 2 3 2 4 5" xfId="18700" xr:uid="{45D25227-AAC3-43F4-81F3-34CB650D5DB9}"/>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9FA20E8A-8EFF-49A8-81B0-E373A92B1266}"/>
    <cellStyle name="Normal 5 2 2 2 3 2 5 2 2 3" xfId="25475" xr:uid="{AE217C0C-65B7-4678-BB1B-A78C1DE2C7AE}"/>
    <cellStyle name="Normal 5 2 2 2 3 2 5 2 3" xfId="12817" xr:uid="{D54BC2A6-7A7E-43C4-9C02-DF97402C4056}"/>
    <cellStyle name="Normal 5 2 2 2 3 2 5 2 4" xfId="21258" xr:uid="{E429D579-2BEF-46FE-8FE0-1AC09F5103D1}"/>
    <cellStyle name="Normal 5 2 2 2 3 2 5 3" xfId="6440" xr:uid="{00000000-0005-0000-0000-000059170000}"/>
    <cellStyle name="Normal 5 2 2 2 3 2 5 3 2" xfId="14890" xr:uid="{1BF01499-3AA6-4B48-B86C-CCA950EE0525}"/>
    <cellStyle name="Normal 5 2 2 2 3 2 5 3 3" xfId="23330" xr:uid="{43EFE539-938B-49A1-ADE6-1AF0B0961E36}"/>
    <cellStyle name="Normal 5 2 2 2 3 2 5 4" xfId="10672" xr:uid="{C0195E97-4D5D-4F1F-A80E-DAF98F4DC10B}"/>
    <cellStyle name="Normal 5 2 2 2 3 2 5 5" xfId="19113" xr:uid="{F3E32124-5D6E-4AA2-9275-93C7AC7A4EC3}"/>
    <cellStyle name="Normal 5 2 2 2 3 2 6" xfId="2570" xr:uid="{00000000-0005-0000-0000-00005A170000}"/>
    <cellStyle name="Normal 5 2 2 2 3 2 6 2" xfId="6853" xr:uid="{00000000-0005-0000-0000-00005B170000}"/>
    <cellStyle name="Normal 5 2 2 2 3 2 6 2 2" xfId="15303" xr:uid="{A0A9A0C4-DC32-40B1-A2B1-648FF8663619}"/>
    <cellStyle name="Normal 5 2 2 2 3 2 6 2 3" xfId="23743" xr:uid="{C1247AF0-F38A-4FE7-9418-5B6E89C6B222}"/>
    <cellStyle name="Normal 5 2 2 2 3 2 6 3" xfId="11085" xr:uid="{E318902D-42ED-4186-B3B0-65CB0622C5F4}"/>
    <cellStyle name="Normal 5 2 2 2 3 2 6 4" xfId="19526" xr:uid="{41B05068-D9B5-4578-92B4-03DB748E5DD9}"/>
    <cellStyle name="Normal 5 2 2 2 3 2 7" xfId="4788" xr:uid="{00000000-0005-0000-0000-00005C170000}"/>
    <cellStyle name="Normal 5 2 2 2 3 2 7 2" xfId="13238" xr:uid="{45C22C60-429F-47CD-A5BF-D076045B3F72}"/>
    <cellStyle name="Normal 5 2 2 2 3 2 7 3" xfId="21678" xr:uid="{C26EEB75-4920-4136-A4C5-B4FFFFB3ED2A}"/>
    <cellStyle name="Normal 5 2 2 2 3 2 8" xfId="9020" xr:uid="{C0225ECB-DD3D-42AB-B9A9-6629AD159737}"/>
    <cellStyle name="Normal 5 2 2 2 3 2 9" xfId="17461" xr:uid="{41AD8894-C525-4A27-A74E-88AAE07493D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AEF50BF6-4C03-4A38-96A2-E97DA398C8F1}"/>
    <cellStyle name="Normal 5 2 2 2 3 3 2 2 3" xfId="24235" xr:uid="{F357D980-75DA-4E8B-BF68-19B65EC3DD6C}"/>
    <cellStyle name="Normal 5 2 2 2 3 3 2 3" xfId="11577" xr:uid="{CADF4881-D40D-4BD7-9892-4A9A2186462E}"/>
    <cellStyle name="Normal 5 2 2 2 3 3 2 4" xfId="20018" xr:uid="{2E76286C-F6D4-48B4-813B-7236DA1862D8}"/>
    <cellStyle name="Normal 5 2 2 2 3 3 3" xfId="5200" xr:uid="{00000000-0005-0000-0000-000060170000}"/>
    <cellStyle name="Normal 5 2 2 2 3 3 3 2" xfId="13650" xr:uid="{6A8E8F14-3A60-4EA3-B062-FF17811C27EF}"/>
    <cellStyle name="Normal 5 2 2 2 3 3 3 3" xfId="22090" xr:uid="{575C28D6-2121-4BD3-94A8-16F0E43A552A}"/>
    <cellStyle name="Normal 5 2 2 2 3 3 4" xfId="9432" xr:uid="{615B82A8-2597-4198-B34B-54B397FD91F9}"/>
    <cellStyle name="Normal 5 2 2 2 3 3 5" xfId="17873" xr:uid="{B09EF385-1049-49F4-A8AA-A8EEC3148BF2}"/>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FFCBE3B7-C70E-47D0-9782-32B77206E439}"/>
    <cellStyle name="Normal 5 2 2 2 3 4 2 2 3" xfId="24648" xr:uid="{08C8D023-BA02-4F31-9350-65C0EAA5BBA9}"/>
    <cellStyle name="Normal 5 2 2 2 3 4 2 3" xfId="11990" xr:uid="{8DA753D7-4C75-4333-A082-BCF0B314A9E7}"/>
    <cellStyle name="Normal 5 2 2 2 3 4 2 4" xfId="20431" xr:uid="{DD2047AB-BDE1-46E5-9E4B-64FE499E19C1}"/>
    <cellStyle name="Normal 5 2 2 2 3 4 3" xfId="5613" xr:uid="{00000000-0005-0000-0000-000064170000}"/>
    <cellStyle name="Normal 5 2 2 2 3 4 3 2" xfId="14063" xr:uid="{8AAF95C8-4614-4141-82EA-8FC8721A7B93}"/>
    <cellStyle name="Normal 5 2 2 2 3 4 3 3" xfId="22503" xr:uid="{AEE5FBDD-1DFA-48C9-A07F-6C6BA8093A33}"/>
    <cellStyle name="Normal 5 2 2 2 3 4 4" xfId="9845" xr:uid="{F2BBB412-F122-4C90-8745-59CCD46B6D57}"/>
    <cellStyle name="Normal 5 2 2 2 3 4 5" xfId="18286" xr:uid="{3609A5E9-E6DA-486A-A6A3-5FA3F4404F2E}"/>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8C4898B7-0BE3-48C8-A00B-82FCA96DE4BE}"/>
    <cellStyle name="Normal 5 2 2 2 3 5 2 2 3" xfId="25061" xr:uid="{86CF881B-BD2A-4955-B0FC-B20D57FB95E5}"/>
    <cellStyle name="Normal 5 2 2 2 3 5 2 3" xfId="12403" xr:uid="{BF55F50C-C312-4260-810E-732253DC4E53}"/>
    <cellStyle name="Normal 5 2 2 2 3 5 2 4" xfId="20844" xr:uid="{B0F42813-222C-4CA9-9561-AE3960027D37}"/>
    <cellStyle name="Normal 5 2 2 2 3 5 3" xfId="6026" xr:uid="{00000000-0005-0000-0000-000068170000}"/>
    <cellStyle name="Normal 5 2 2 2 3 5 3 2" xfId="14476" xr:uid="{099D38E0-F8A7-49D3-B81B-FD96F192FABF}"/>
    <cellStyle name="Normal 5 2 2 2 3 5 3 3" xfId="22916" xr:uid="{A97450DD-F524-49B6-A378-5BC6693535CE}"/>
    <cellStyle name="Normal 5 2 2 2 3 5 4" xfId="10258" xr:uid="{C845D4B4-971C-4A75-B9D4-45CF1087075A}"/>
    <cellStyle name="Normal 5 2 2 2 3 5 5" xfId="18699" xr:uid="{5F536F0C-26DB-46A9-AB86-3E99BB5FC5A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9A878008-6302-4985-93E8-D7FE72F78182}"/>
    <cellStyle name="Normal 5 2 2 2 3 6 2 2 3" xfId="25474" xr:uid="{5C81144B-4861-443B-BBF5-C7DAD6A31FCE}"/>
    <cellStyle name="Normal 5 2 2 2 3 6 2 3" xfId="12816" xr:uid="{5CA06856-E2BA-4499-902E-2914907685F6}"/>
    <cellStyle name="Normal 5 2 2 2 3 6 2 4" xfId="21257" xr:uid="{65A7408F-8E2C-4872-B730-E05EC8FFD0C7}"/>
    <cellStyle name="Normal 5 2 2 2 3 6 3" xfId="6439" xr:uid="{00000000-0005-0000-0000-00006C170000}"/>
    <cellStyle name="Normal 5 2 2 2 3 6 3 2" xfId="14889" xr:uid="{8C50DCF2-0207-4D0D-A7B3-4132A83ECCBF}"/>
    <cellStyle name="Normal 5 2 2 2 3 6 3 3" xfId="23329" xr:uid="{20E87367-0D67-4ED9-8B9C-B7A44DC3FA52}"/>
    <cellStyle name="Normal 5 2 2 2 3 6 4" xfId="10671" xr:uid="{DA08C0C4-6698-4F54-B040-75437DEF327B}"/>
    <cellStyle name="Normal 5 2 2 2 3 6 5" xfId="19112" xr:uid="{4DF5A71E-3F3E-49CC-9778-56BA72C39FED}"/>
    <cellStyle name="Normal 5 2 2 2 3 7" xfId="2569" xr:uid="{00000000-0005-0000-0000-00006D170000}"/>
    <cellStyle name="Normal 5 2 2 2 3 7 2" xfId="6852" xr:uid="{00000000-0005-0000-0000-00006E170000}"/>
    <cellStyle name="Normal 5 2 2 2 3 7 2 2" xfId="15302" xr:uid="{377F960E-136E-4F1C-A755-0B32D4B2CB44}"/>
    <cellStyle name="Normal 5 2 2 2 3 7 2 3" xfId="23742" xr:uid="{8884848A-06A6-4A14-88B5-CFE805291A69}"/>
    <cellStyle name="Normal 5 2 2 2 3 7 3" xfId="11084" xr:uid="{66ADD35F-B9D5-4BF2-87B0-479F9E004D24}"/>
    <cellStyle name="Normal 5 2 2 2 3 7 4" xfId="19525" xr:uid="{6B6410E2-0998-4057-8A1E-857212AF9AA1}"/>
    <cellStyle name="Normal 5 2 2 2 3 8" xfId="4787" xr:uid="{00000000-0005-0000-0000-00006F170000}"/>
    <cellStyle name="Normal 5 2 2 2 3 8 2" xfId="13237" xr:uid="{1BE4E0AC-251D-4B74-90BE-E6FAEB86B72F}"/>
    <cellStyle name="Normal 5 2 2 2 3 8 3" xfId="21677" xr:uid="{F4798835-8A2C-4A90-A07F-0F9F8861D7B4}"/>
    <cellStyle name="Normal 5 2 2 2 3 9" xfId="9019" xr:uid="{AA3A1923-C9F2-4015-B32F-E35B984BECC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CAB41B3E-AF41-449C-934F-06CA1821726D}"/>
    <cellStyle name="Normal 5 2 2 2 4 2 2 2 3" xfId="24237" xr:uid="{1BAC0334-E713-4E85-BA70-00987097E516}"/>
    <cellStyle name="Normal 5 2 2 2 4 2 2 3" xfId="11579" xr:uid="{C904575F-3F87-4943-82FD-930EFE066D87}"/>
    <cellStyle name="Normal 5 2 2 2 4 2 2 4" xfId="20020" xr:uid="{C4B1ADAF-AFB6-4536-A9E8-FF8B66FCA1B4}"/>
    <cellStyle name="Normal 5 2 2 2 4 2 3" xfId="5202" xr:uid="{00000000-0005-0000-0000-000074170000}"/>
    <cellStyle name="Normal 5 2 2 2 4 2 3 2" xfId="13652" xr:uid="{650668A7-24B6-4B30-940C-AADDB9674F2C}"/>
    <cellStyle name="Normal 5 2 2 2 4 2 3 3" xfId="22092" xr:uid="{7A632E6D-E4D3-4EA6-8D6E-283AE18097E8}"/>
    <cellStyle name="Normal 5 2 2 2 4 2 4" xfId="9434" xr:uid="{E5445743-FB4D-49B1-86DC-1A17ECD5AD9F}"/>
    <cellStyle name="Normal 5 2 2 2 4 2 5" xfId="17875" xr:uid="{38F361C9-F1BC-4577-88BA-2402BD30E2F4}"/>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848CFCA8-7AB6-48FF-8D67-CC06C856CDD6}"/>
    <cellStyle name="Normal 5 2 2 2 4 3 2 2 3" xfId="24650" xr:uid="{406679D2-B80C-470D-87D4-91CF3E28FAE2}"/>
    <cellStyle name="Normal 5 2 2 2 4 3 2 3" xfId="11992" xr:uid="{992ACB7B-D9B5-4A29-83C9-5377C9D06E0E}"/>
    <cellStyle name="Normal 5 2 2 2 4 3 2 4" xfId="20433" xr:uid="{9C7F9EED-8B61-49D2-A524-6E9639E039AA}"/>
    <cellStyle name="Normal 5 2 2 2 4 3 3" xfId="5615" xr:uid="{00000000-0005-0000-0000-000078170000}"/>
    <cellStyle name="Normal 5 2 2 2 4 3 3 2" xfId="14065" xr:uid="{06DDCAC1-8548-4B4F-95F7-530D827276F4}"/>
    <cellStyle name="Normal 5 2 2 2 4 3 3 3" xfId="22505" xr:uid="{9F736167-35EA-4DF0-9CE8-7C9909884ED4}"/>
    <cellStyle name="Normal 5 2 2 2 4 3 4" xfId="9847" xr:uid="{0480278B-F871-4613-A0DC-CA1A0B22D64D}"/>
    <cellStyle name="Normal 5 2 2 2 4 3 5" xfId="18288" xr:uid="{10BF821C-C2BF-4A89-917E-B2108379DB45}"/>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A6D0A770-E352-4245-BCA2-E118A9DE1D5C}"/>
    <cellStyle name="Normal 5 2 2 2 4 4 2 2 3" xfId="25063" xr:uid="{642AFBD4-8CC2-4CBB-A820-E0434AF70E38}"/>
    <cellStyle name="Normal 5 2 2 2 4 4 2 3" xfId="12405" xr:uid="{DD713A7B-3C11-4E0E-81F3-705FD91A9B41}"/>
    <cellStyle name="Normal 5 2 2 2 4 4 2 4" xfId="20846" xr:uid="{E9618DED-F3AB-46E1-9393-B5125629579E}"/>
    <cellStyle name="Normal 5 2 2 2 4 4 3" xfId="6028" xr:uid="{00000000-0005-0000-0000-00007C170000}"/>
    <cellStyle name="Normal 5 2 2 2 4 4 3 2" xfId="14478" xr:uid="{866AB342-2799-4241-94F2-26A160A3EFBB}"/>
    <cellStyle name="Normal 5 2 2 2 4 4 3 3" xfId="22918" xr:uid="{EB471043-4056-4D18-8217-18456096396D}"/>
    <cellStyle name="Normal 5 2 2 2 4 4 4" xfId="10260" xr:uid="{4CE64AFA-E4FD-45DA-B851-DF5C077DE672}"/>
    <cellStyle name="Normal 5 2 2 2 4 4 5" xfId="18701" xr:uid="{48010AE5-2722-4C4F-97EC-2E782034947E}"/>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F0883912-91E9-4987-95A5-90D34E6B40FF}"/>
    <cellStyle name="Normal 5 2 2 2 4 5 2 2 3" xfId="25476" xr:uid="{E38B7321-D204-46A3-9A7A-03032689EC96}"/>
    <cellStyle name="Normal 5 2 2 2 4 5 2 3" xfId="12818" xr:uid="{E562404A-FEA2-42B6-84F8-DCCB24BDA9A0}"/>
    <cellStyle name="Normal 5 2 2 2 4 5 2 4" xfId="21259" xr:uid="{60639A3F-9F8B-45D5-81AE-75C17427FC8B}"/>
    <cellStyle name="Normal 5 2 2 2 4 5 3" xfId="6441" xr:uid="{00000000-0005-0000-0000-000080170000}"/>
    <cellStyle name="Normal 5 2 2 2 4 5 3 2" xfId="14891" xr:uid="{E3C20363-E039-4C27-8038-9E135C3BACAB}"/>
    <cellStyle name="Normal 5 2 2 2 4 5 3 3" xfId="23331" xr:uid="{60DC1447-79B7-4AD8-8E79-FD6BEC985D90}"/>
    <cellStyle name="Normal 5 2 2 2 4 5 4" xfId="10673" xr:uid="{859A8827-D9D6-415A-8842-3F84F7F686A2}"/>
    <cellStyle name="Normal 5 2 2 2 4 5 5" xfId="19114" xr:uid="{2FC432AB-5E80-4B66-990A-CFCA6990094B}"/>
    <cellStyle name="Normal 5 2 2 2 4 6" xfId="2571" xr:uid="{00000000-0005-0000-0000-000081170000}"/>
    <cellStyle name="Normal 5 2 2 2 4 6 2" xfId="6854" xr:uid="{00000000-0005-0000-0000-000082170000}"/>
    <cellStyle name="Normal 5 2 2 2 4 6 2 2" xfId="15304" xr:uid="{D731B442-1B20-4158-A254-0E5ADB02C6CD}"/>
    <cellStyle name="Normal 5 2 2 2 4 6 2 3" xfId="23744" xr:uid="{40F0D8D5-68AA-43EF-8FE7-A5E7E7BBEE3A}"/>
    <cellStyle name="Normal 5 2 2 2 4 6 3" xfId="11086" xr:uid="{C3526523-30E7-4E4E-BC56-EFEC38CD3C0E}"/>
    <cellStyle name="Normal 5 2 2 2 4 6 4" xfId="19527" xr:uid="{508FBB4D-6DEE-4F38-BCF2-D741625CB979}"/>
    <cellStyle name="Normal 5 2 2 2 4 7" xfId="4789" xr:uid="{00000000-0005-0000-0000-000083170000}"/>
    <cellStyle name="Normal 5 2 2 2 4 7 2" xfId="13239" xr:uid="{65DF3D61-8C14-4C98-9E42-09E4E0E4FEC1}"/>
    <cellStyle name="Normal 5 2 2 2 4 7 3" xfId="21679" xr:uid="{31DDFCF0-A45F-4D06-86D2-086D996B8604}"/>
    <cellStyle name="Normal 5 2 2 2 4 8" xfId="9021" xr:uid="{121DF303-B80E-400A-9337-26F2C0C14797}"/>
    <cellStyle name="Normal 5 2 2 2 4 9" xfId="17462" xr:uid="{F17DFFC2-F2CB-4C3A-894D-139E03E07A8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DA851C0E-2CA9-44C9-82E9-F78EA5B0CA27}"/>
    <cellStyle name="Normal 5 2 2 2 5 2 2 3" xfId="24230" xr:uid="{1ACDA042-1B7A-4B5A-BFED-4D4C389C7C1E}"/>
    <cellStyle name="Normal 5 2 2 2 5 2 3" xfId="11572" xr:uid="{0F70A3FD-55B1-44ED-B276-6179B725A7AC}"/>
    <cellStyle name="Normal 5 2 2 2 5 2 4" xfId="20013" xr:uid="{CF2222F6-B34D-4FD7-8EC0-3E6915172330}"/>
    <cellStyle name="Normal 5 2 2 2 5 3" xfId="5195" xr:uid="{00000000-0005-0000-0000-000087170000}"/>
    <cellStyle name="Normal 5 2 2 2 5 3 2" xfId="13645" xr:uid="{34B68181-4CD9-4625-A884-E4E5E5B0B3F4}"/>
    <cellStyle name="Normal 5 2 2 2 5 3 3" xfId="22085" xr:uid="{9242313B-7FBB-41DC-81AB-C29569B74390}"/>
    <cellStyle name="Normal 5 2 2 2 5 4" xfId="9427" xr:uid="{8F0C63DB-58B9-45DB-924D-04CF14421125}"/>
    <cellStyle name="Normal 5 2 2 2 5 5" xfId="17868" xr:uid="{1EB6B50E-9823-405A-9FC3-853FFDD557A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62BE5326-1DD1-4EFE-9D20-EF13E1051F15}"/>
    <cellStyle name="Normal 5 2 2 2 6 2 2 3" xfId="24643" xr:uid="{F0169B38-AEB9-4B11-9AB7-41B652A9FCB9}"/>
    <cellStyle name="Normal 5 2 2 2 6 2 3" xfId="11985" xr:uid="{B75E758D-5E37-452C-A817-56A2474FCB3D}"/>
    <cellStyle name="Normal 5 2 2 2 6 2 4" xfId="20426" xr:uid="{E2921804-8804-4865-8537-ABB882EAF1E3}"/>
    <cellStyle name="Normal 5 2 2 2 6 3" xfId="5608" xr:uid="{00000000-0005-0000-0000-00008B170000}"/>
    <cellStyle name="Normal 5 2 2 2 6 3 2" xfId="14058" xr:uid="{E0F76ADF-6FED-49FB-99BC-F08546E7545F}"/>
    <cellStyle name="Normal 5 2 2 2 6 3 3" xfId="22498" xr:uid="{313804A7-4ADA-4C53-9D42-1A41C49F3BE5}"/>
    <cellStyle name="Normal 5 2 2 2 6 4" xfId="9840" xr:uid="{4974B405-3AC6-4BB7-B129-A5B63F604BBB}"/>
    <cellStyle name="Normal 5 2 2 2 6 5" xfId="18281" xr:uid="{C9560DD9-0FDF-4D23-B39C-CD435EFCFC35}"/>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3F95B412-D8D5-4B25-9346-8490C5D36A63}"/>
    <cellStyle name="Normal 5 2 2 2 7 2 2 3" xfId="25056" xr:uid="{9401E45B-FC40-46D9-A111-CFBEAF9A2624}"/>
    <cellStyle name="Normal 5 2 2 2 7 2 3" xfId="12398" xr:uid="{9EEEDEF3-8A8D-4934-8A50-0F2636BC5D55}"/>
    <cellStyle name="Normal 5 2 2 2 7 2 4" xfId="20839" xr:uid="{8647BBC7-0568-4761-84F5-C40313B91C71}"/>
    <cellStyle name="Normal 5 2 2 2 7 3" xfId="6021" xr:uid="{00000000-0005-0000-0000-00008F170000}"/>
    <cellStyle name="Normal 5 2 2 2 7 3 2" xfId="14471" xr:uid="{F2590718-DBD7-45B7-976E-D92E756FED3E}"/>
    <cellStyle name="Normal 5 2 2 2 7 3 3" xfId="22911" xr:uid="{FE50D2C5-F5A3-4237-A283-46CDC5BB7146}"/>
    <cellStyle name="Normal 5 2 2 2 7 4" xfId="10253" xr:uid="{4A000CC3-EB33-495D-803F-8797FB34F405}"/>
    <cellStyle name="Normal 5 2 2 2 7 5" xfId="18694" xr:uid="{1B401FA0-7DD6-44C9-988F-A2BE668C3AA0}"/>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58274E49-5F12-42E4-8CEA-2493DDFFF2AA}"/>
    <cellStyle name="Normal 5 2 2 2 8 2 2 3" xfId="25469" xr:uid="{520671E4-F8C6-41E9-8789-E0A6E498F1CF}"/>
    <cellStyle name="Normal 5 2 2 2 8 2 3" xfId="12811" xr:uid="{65A8FB26-6888-4D5A-A81D-B1D334B68FE4}"/>
    <cellStyle name="Normal 5 2 2 2 8 2 4" xfId="21252" xr:uid="{37C3805F-2A38-4D18-A1A8-3D51248B96BA}"/>
    <cellStyle name="Normal 5 2 2 2 8 3" xfId="6434" xr:uid="{00000000-0005-0000-0000-000093170000}"/>
    <cellStyle name="Normal 5 2 2 2 8 3 2" xfId="14884" xr:uid="{2210C125-BD74-483E-9F7E-16945E792D2D}"/>
    <cellStyle name="Normal 5 2 2 2 8 3 3" xfId="23324" xr:uid="{1F9FF57E-86FB-44F9-9C7E-1981D5F6997E}"/>
    <cellStyle name="Normal 5 2 2 2 8 4" xfId="10666" xr:uid="{394C6E93-E985-49C1-805D-05DCCEEFC935}"/>
    <cellStyle name="Normal 5 2 2 2 8 5" xfId="19107" xr:uid="{844D5F12-0EAC-44DC-8D3A-2E270F6FC8E9}"/>
    <cellStyle name="Normal 5 2 2 2 9" xfId="2564" xr:uid="{00000000-0005-0000-0000-000094170000}"/>
    <cellStyle name="Normal 5 2 2 2 9 2" xfId="6847" xr:uid="{00000000-0005-0000-0000-000095170000}"/>
    <cellStyle name="Normal 5 2 2 2 9 2 2" xfId="15297" xr:uid="{6FFBB2E4-59E6-4280-92A0-35A36732D5A0}"/>
    <cellStyle name="Normal 5 2 2 2 9 2 3" xfId="23737" xr:uid="{C06441EA-CC15-49CE-83AB-713C2A9664C6}"/>
    <cellStyle name="Normal 5 2 2 2 9 3" xfId="11079" xr:uid="{928C8BCE-E7F5-46CB-861E-117C014C8CA1}"/>
    <cellStyle name="Normal 5 2 2 2 9 4" xfId="19520" xr:uid="{2040146F-A1D8-4C8F-86D1-790E71B8689A}"/>
    <cellStyle name="Normal 5 2 2 3" xfId="417" xr:uid="{00000000-0005-0000-0000-000096170000}"/>
    <cellStyle name="Normal 5 2 2 3 10" xfId="9022" xr:uid="{C1E68414-A311-40FB-AE2A-BA89B062CA7C}"/>
    <cellStyle name="Normal 5 2 2 3 11" xfId="17463" xr:uid="{6DECCFDD-999C-459F-80B2-6731A0969934}"/>
    <cellStyle name="Normal 5 2 2 3 2" xfId="418" xr:uid="{00000000-0005-0000-0000-000097170000}"/>
    <cellStyle name="Normal 5 2 2 3 2 10" xfId="17464" xr:uid="{53B85805-5A3B-4746-8276-A5D8A1E878EC}"/>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F282D53B-A9AC-4F3A-ADD7-2E896A3B0E70}"/>
    <cellStyle name="Normal 5 2 2 3 2 2 2 2 2 3" xfId="24240" xr:uid="{8FFF5067-EDE0-4EF3-9880-F1863E4DF96D}"/>
    <cellStyle name="Normal 5 2 2 3 2 2 2 2 3" xfId="11582" xr:uid="{0F7039D0-7C0C-491D-B52A-E90D480E1B9A}"/>
    <cellStyle name="Normal 5 2 2 3 2 2 2 2 4" xfId="20023" xr:uid="{FA9BEB20-7672-45F4-900C-7F1405222B18}"/>
    <cellStyle name="Normal 5 2 2 3 2 2 2 3" xfId="5205" xr:uid="{00000000-0005-0000-0000-00009C170000}"/>
    <cellStyle name="Normal 5 2 2 3 2 2 2 3 2" xfId="13655" xr:uid="{6232727A-6CF8-424B-BC6E-DB55589CA157}"/>
    <cellStyle name="Normal 5 2 2 3 2 2 2 3 3" xfId="22095" xr:uid="{1D5E477F-99B2-46A0-B298-7DFCC284F0ED}"/>
    <cellStyle name="Normal 5 2 2 3 2 2 2 4" xfId="9437" xr:uid="{DE381D94-BC20-4750-B8C4-3039758073F6}"/>
    <cellStyle name="Normal 5 2 2 3 2 2 2 5" xfId="17878" xr:uid="{D9E006E5-3971-43B1-B1B5-02C0FB9DC3FC}"/>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7EF75EDD-0D61-4809-89AA-1C4EEFFC9D3D}"/>
    <cellStyle name="Normal 5 2 2 3 2 2 3 2 2 3" xfId="24653" xr:uid="{6172257E-A31E-4750-93DF-6403347C4A22}"/>
    <cellStyle name="Normal 5 2 2 3 2 2 3 2 3" xfId="11995" xr:uid="{CA5231B9-E559-4925-A257-4DFBAFB16AF2}"/>
    <cellStyle name="Normal 5 2 2 3 2 2 3 2 4" xfId="20436" xr:uid="{E54E40FA-D03F-446C-8569-DE4854959E40}"/>
    <cellStyle name="Normal 5 2 2 3 2 2 3 3" xfId="5618" xr:uid="{00000000-0005-0000-0000-0000A0170000}"/>
    <cellStyle name="Normal 5 2 2 3 2 2 3 3 2" xfId="14068" xr:uid="{0DFBD528-75B4-4EE6-BE02-2D5064537EC0}"/>
    <cellStyle name="Normal 5 2 2 3 2 2 3 3 3" xfId="22508" xr:uid="{CDC3050C-0444-48F2-9CAE-7FAB2163D6BF}"/>
    <cellStyle name="Normal 5 2 2 3 2 2 3 4" xfId="9850" xr:uid="{425C3174-F0A2-49AA-B05A-326235294262}"/>
    <cellStyle name="Normal 5 2 2 3 2 2 3 5" xfId="18291" xr:uid="{AD4AD2A3-DEBE-438A-BA00-43285DAFDE1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F12290E4-E4FB-4C1D-8B87-3776C0FDAE84}"/>
    <cellStyle name="Normal 5 2 2 3 2 2 4 2 2 3" xfId="25066" xr:uid="{06080BD3-DB9D-4E59-A968-C520683AE874}"/>
    <cellStyle name="Normal 5 2 2 3 2 2 4 2 3" xfId="12408" xr:uid="{2C285E10-D7F3-4013-9B01-A7FB2D60D620}"/>
    <cellStyle name="Normal 5 2 2 3 2 2 4 2 4" xfId="20849" xr:uid="{40DACF06-8118-4019-AFFC-4CD2D1F62372}"/>
    <cellStyle name="Normal 5 2 2 3 2 2 4 3" xfId="6031" xr:uid="{00000000-0005-0000-0000-0000A4170000}"/>
    <cellStyle name="Normal 5 2 2 3 2 2 4 3 2" xfId="14481" xr:uid="{A198914B-472D-4C13-BDBE-1E8E5327AB45}"/>
    <cellStyle name="Normal 5 2 2 3 2 2 4 3 3" xfId="22921" xr:uid="{CA074D76-0358-46BA-83AC-36F78129B78C}"/>
    <cellStyle name="Normal 5 2 2 3 2 2 4 4" xfId="10263" xr:uid="{CC711C3D-0421-4CB3-A1BF-CF442E30FC87}"/>
    <cellStyle name="Normal 5 2 2 3 2 2 4 5" xfId="18704" xr:uid="{E5C26922-BCFB-45F9-B25B-D05AB33EADF8}"/>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4AE279ED-8A43-4EAD-B714-2552DF83F28D}"/>
    <cellStyle name="Normal 5 2 2 3 2 2 5 2 2 3" xfId="25479" xr:uid="{30FA3CE8-85FB-4561-ADD8-F2C41B885FCE}"/>
    <cellStyle name="Normal 5 2 2 3 2 2 5 2 3" xfId="12821" xr:uid="{739F4CAE-86C8-4F37-85FC-34E87312688D}"/>
    <cellStyle name="Normal 5 2 2 3 2 2 5 2 4" xfId="21262" xr:uid="{960EC299-6490-4FE2-94E8-44931A2DC126}"/>
    <cellStyle name="Normal 5 2 2 3 2 2 5 3" xfId="6444" xr:uid="{00000000-0005-0000-0000-0000A8170000}"/>
    <cellStyle name="Normal 5 2 2 3 2 2 5 3 2" xfId="14894" xr:uid="{0F8A3339-5638-439D-9D5B-AF7E1DF14E77}"/>
    <cellStyle name="Normal 5 2 2 3 2 2 5 3 3" xfId="23334" xr:uid="{CD62738B-6D33-4F02-BF8F-59AE68E8006C}"/>
    <cellStyle name="Normal 5 2 2 3 2 2 5 4" xfId="10676" xr:uid="{2397F0CC-3D39-4B33-AD5C-BFC718EF30B9}"/>
    <cellStyle name="Normal 5 2 2 3 2 2 5 5" xfId="19117" xr:uid="{6291626F-E0EC-421E-9431-292C44407338}"/>
    <cellStyle name="Normal 5 2 2 3 2 2 6" xfId="2574" xr:uid="{00000000-0005-0000-0000-0000A9170000}"/>
    <cellStyle name="Normal 5 2 2 3 2 2 6 2" xfId="6857" xr:uid="{00000000-0005-0000-0000-0000AA170000}"/>
    <cellStyle name="Normal 5 2 2 3 2 2 6 2 2" xfId="15307" xr:uid="{D041270D-A933-40FB-AE63-A924618ACFF8}"/>
    <cellStyle name="Normal 5 2 2 3 2 2 6 2 3" xfId="23747" xr:uid="{BD5EA109-D185-4E84-A621-6B3E5FEFE866}"/>
    <cellStyle name="Normal 5 2 2 3 2 2 6 3" xfId="11089" xr:uid="{9F8264EA-D0AD-4488-8F73-3320E9737C61}"/>
    <cellStyle name="Normal 5 2 2 3 2 2 6 4" xfId="19530" xr:uid="{7A2F2E5C-1158-4DE6-B8A5-B94471222ABD}"/>
    <cellStyle name="Normal 5 2 2 3 2 2 7" xfId="4792" xr:uid="{00000000-0005-0000-0000-0000AB170000}"/>
    <cellStyle name="Normal 5 2 2 3 2 2 7 2" xfId="13242" xr:uid="{DD3A46EB-DB4D-41D2-9651-5256B136BCC0}"/>
    <cellStyle name="Normal 5 2 2 3 2 2 7 3" xfId="21682" xr:uid="{1F3A04D0-B0DF-4DC3-B093-4D3AFBE57AFD}"/>
    <cellStyle name="Normal 5 2 2 3 2 2 8" xfId="9024" xr:uid="{61D6DF4A-D747-4066-8D7E-FB3CDE7B69E5}"/>
    <cellStyle name="Normal 5 2 2 3 2 2 9" xfId="17465" xr:uid="{D11152DD-7EC7-4567-9BF7-17686212ECB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B48DB581-37A5-4756-86FB-E91F96D9599C}"/>
    <cellStyle name="Normal 5 2 2 3 2 3 2 2 3" xfId="24239" xr:uid="{F079DB03-2EB2-49FE-A0CC-890D50F24637}"/>
    <cellStyle name="Normal 5 2 2 3 2 3 2 3" xfId="11581" xr:uid="{088F8F66-350D-43D0-A332-24F75023A988}"/>
    <cellStyle name="Normal 5 2 2 3 2 3 2 4" xfId="20022" xr:uid="{692765F7-D3FB-4615-882A-EA1DFC2E11EF}"/>
    <cellStyle name="Normal 5 2 2 3 2 3 3" xfId="5204" xr:uid="{00000000-0005-0000-0000-0000AF170000}"/>
    <cellStyle name="Normal 5 2 2 3 2 3 3 2" xfId="13654" xr:uid="{52B09A41-81BA-4118-8C41-3170A8145787}"/>
    <cellStyle name="Normal 5 2 2 3 2 3 3 3" xfId="22094" xr:uid="{62A4F906-DAB0-48A2-BE93-E50ECA00999A}"/>
    <cellStyle name="Normal 5 2 2 3 2 3 4" xfId="9436" xr:uid="{2BF2E944-1EE7-446D-92D1-A454C343D174}"/>
    <cellStyle name="Normal 5 2 2 3 2 3 5" xfId="17877" xr:uid="{0AD3F428-3E4B-4E92-8532-1A2FE1FDE4D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08BF6BAB-0951-43AD-91CC-CFB6D109AE31}"/>
    <cellStyle name="Normal 5 2 2 3 2 4 2 2 3" xfId="24652" xr:uid="{A2312363-CD92-4C38-BCCB-81894D7055F5}"/>
    <cellStyle name="Normal 5 2 2 3 2 4 2 3" xfId="11994" xr:uid="{3CC14350-FC1E-4DEF-9B3F-10655BC516F8}"/>
    <cellStyle name="Normal 5 2 2 3 2 4 2 4" xfId="20435" xr:uid="{3BE981D7-0043-42B7-9E72-14E3B06B7F75}"/>
    <cellStyle name="Normal 5 2 2 3 2 4 3" xfId="5617" xr:uid="{00000000-0005-0000-0000-0000B3170000}"/>
    <cellStyle name="Normal 5 2 2 3 2 4 3 2" xfId="14067" xr:uid="{1B0DB1F8-AB36-47DB-9E85-856E4DEE638B}"/>
    <cellStyle name="Normal 5 2 2 3 2 4 3 3" xfId="22507" xr:uid="{40AE8E80-455C-4922-9057-FC67801E6DC3}"/>
    <cellStyle name="Normal 5 2 2 3 2 4 4" xfId="9849" xr:uid="{7D149B20-3958-44F2-90EE-9FCE2893EEF6}"/>
    <cellStyle name="Normal 5 2 2 3 2 4 5" xfId="18290" xr:uid="{413D957D-97DA-44EE-836E-1E4DB1B7470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121A909A-1774-4A8A-9796-A9DD8613FDE2}"/>
    <cellStyle name="Normal 5 2 2 3 2 5 2 2 3" xfId="25065" xr:uid="{8388AE2B-5309-40A7-9D6E-79078C06EEAB}"/>
    <cellStyle name="Normal 5 2 2 3 2 5 2 3" xfId="12407" xr:uid="{C5B4D6FA-8F94-41AE-AF25-D14287EC68FB}"/>
    <cellStyle name="Normal 5 2 2 3 2 5 2 4" xfId="20848" xr:uid="{5591FA6F-3797-4DE9-9883-27A58323B2F1}"/>
    <cellStyle name="Normal 5 2 2 3 2 5 3" xfId="6030" xr:uid="{00000000-0005-0000-0000-0000B7170000}"/>
    <cellStyle name="Normal 5 2 2 3 2 5 3 2" xfId="14480" xr:uid="{730A8803-A321-4BC8-ACC2-F5FFE5461D6D}"/>
    <cellStyle name="Normal 5 2 2 3 2 5 3 3" xfId="22920" xr:uid="{5E808532-7985-470F-83D2-D3A651BA0BFC}"/>
    <cellStyle name="Normal 5 2 2 3 2 5 4" xfId="10262" xr:uid="{B8F4C2D5-7B8E-4C77-A9BA-833C06E82A72}"/>
    <cellStyle name="Normal 5 2 2 3 2 5 5" xfId="18703" xr:uid="{7DE1A611-21C0-4B69-B05E-1E30382F2F3E}"/>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127165CB-43F4-40E6-955E-D57CA17060DF}"/>
    <cellStyle name="Normal 5 2 2 3 2 6 2 2 3" xfId="25478" xr:uid="{FDCE80E5-3182-4BCC-81A1-A305AF8F0D4C}"/>
    <cellStyle name="Normal 5 2 2 3 2 6 2 3" xfId="12820" xr:uid="{10416174-4925-4E32-8BB6-590C8131D9A7}"/>
    <cellStyle name="Normal 5 2 2 3 2 6 2 4" xfId="21261" xr:uid="{B914D8AF-7802-4031-A394-EAC9D3539B00}"/>
    <cellStyle name="Normal 5 2 2 3 2 6 3" xfId="6443" xr:uid="{00000000-0005-0000-0000-0000BB170000}"/>
    <cellStyle name="Normal 5 2 2 3 2 6 3 2" xfId="14893" xr:uid="{EE07BBE7-9FE7-4DBC-84A0-943D59E1A087}"/>
    <cellStyle name="Normal 5 2 2 3 2 6 3 3" xfId="23333" xr:uid="{3EE4E7C8-C249-4CF8-B334-FACB752165D5}"/>
    <cellStyle name="Normal 5 2 2 3 2 6 4" xfId="10675" xr:uid="{0B194DAB-9218-48D0-ABA6-A5D5EEB2BD6A}"/>
    <cellStyle name="Normal 5 2 2 3 2 6 5" xfId="19116" xr:uid="{2EE5C624-08EF-400A-9882-5E458A04566F}"/>
    <cellStyle name="Normal 5 2 2 3 2 7" xfId="2573" xr:uid="{00000000-0005-0000-0000-0000BC170000}"/>
    <cellStyle name="Normal 5 2 2 3 2 7 2" xfId="6856" xr:uid="{00000000-0005-0000-0000-0000BD170000}"/>
    <cellStyle name="Normal 5 2 2 3 2 7 2 2" xfId="15306" xr:uid="{74C05AB5-6244-4FE9-AEAF-80600643DA97}"/>
    <cellStyle name="Normal 5 2 2 3 2 7 2 3" xfId="23746" xr:uid="{485FE20A-73ED-4857-BEF6-251D07723A43}"/>
    <cellStyle name="Normal 5 2 2 3 2 7 3" xfId="11088" xr:uid="{81826F70-77B8-4FE4-83A5-E1E778C760F7}"/>
    <cellStyle name="Normal 5 2 2 3 2 7 4" xfId="19529" xr:uid="{0CF5A8C5-0C1A-4A36-AAE6-B6CF00D020CA}"/>
    <cellStyle name="Normal 5 2 2 3 2 8" xfId="4791" xr:uid="{00000000-0005-0000-0000-0000BE170000}"/>
    <cellStyle name="Normal 5 2 2 3 2 8 2" xfId="13241" xr:uid="{75D6B93F-A0E5-48BA-90F1-3EB0E25F4E3B}"/>
    <cellStyle name="Normal 5 2 2 3 2 8 3" xfId="21681" xr:uid="{B8B6E3A3-779B-47F8-ADDF-F0736AF0A721}"/>
    <cellStyle name="Normal 5 2 2 3 2 9" xfId="9023" xr:uid="{1D4DF330-FC00-4B57-8603-60D743118853}"/>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0B845557-59F3-4505-A1F5-9483CFBFAA70}"/>
    <cellStyle name="Normal 5 2 2 3 3 2 2 2 3" xfId="24241" xr:uid="{F027AA80-6C43-4CA5-AB12-C750A4FC3C45}"/>
    <cellStyle name="Normal 5 2 2 3 3 2 2 3" xfId="11583" xr:uid="{4BD037F5-55FF-4ABE-B565-C91202910BC8}"/>
    <cellStyle name="Normal 5 2 2 3 3 2 2 4" xfId="20024" xr:uid="{D316C1EE-3C87-461B-A451-8B7F135C943F}"/>
    <cellStyle name="Normal 5 2 2 3 3 2 3" xfId="5206" xr:uid="{00000000-0005-0000-0000-0000C3170000}"/>
    <cellStyle name="Normal 5 2 2 3 3 2 3 2" xfId="13656" xr:uid="{0FEB43BE-5B5D-4B02-B101-ED4AB436C83F}"/>
    <cellStyle name="Normal 5 2 2 3 3 2 3 3" xfId="22096" xr:uid="{4C3BC9E6-786A-4058-8458-D996B8F27868}"/>
    <cellStyle name="Normal 5 2 2 3 3 2 4" xfId="9438" xr:uid="{EA504CE3-1A4D-455A-AC95-7099A73FD7BB}"/>
    <cellStyle name="Normal 5 2 2 3 3 2 5" xfId="17879" xr:uid="{7A3188B6-A910-4D16-8228-5525A5EDA5CA}"/>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F1465C0A-8781-4C35-BBB4-7EC2E2EFD84E}"/>
    <cellStyle name="Normal 5 2 2 3 3 3 2 2 3" xfId="24654" xr:uid="{86ADF053-FEFB-4C6A-9AD8-6A190F49E7A2}"/>
    <cellStyle name="Normal 5 2 2 3 3 3 2 3" xfId="11996" xr:uid="{7B23C231-3441-4333-A28B-4D9D8F4A46F0}"/>
    <cellStyle name="Normal 5 2 2 3 3 3 2 4" xfId="20437" xr:uid="{2CFEF859-0D6A-466B-9ED4-852A1C1B8D62}"/>
    <cellStyle name="Normal 5 2 2 3 3 3 3" xfId="5619" xr:uid="{00000000-0005-0000-0000-0000C7170000}"/>
    <cellStyle name="Normal 5 2 2 3 3 3 3 2" xfId="14069" xr:uid="{36F90219-D35C-41EB-A1F2-1726984CBAB0}"/>
    <cellStyle name="Normal 5 2 2 3 3 3 3 3" xfId="22509" xr:uid="{9805A9DF-80EC-42C4-A380-A570BD0F272D}"/>
    <cellStyle name="Normal 5 2 2 3 3 3 4" xfId="9851" xr:uid="{F6855B7C-F275-4E74-BFFB-56B6BF01ABA4}"/>
    <cellStyle name="Normal 5 2 2 3 3 3 5" xfId="18292" xr:uid="{90AF3D35-E357-41B3-9DA2-AB279626530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8E61DE49-4498-4829-88AE-1615E7EA5795}"/>
    <cellStyle name="Normal 5 2 2 3 3 4 2 2 3" xfId="25067" xr:uid="{261998BF-2677-4A6C-92D3-3B5E9B16042C}"/>
    <cellStyle name="Normal 5 2 2 3 3 4 2 3" xfId="12409" xr:uid="{49CC0FE7-A7A7-4200-94F3-85B0F51D4007}"/>
    <cellStyle name="Normal 5 2 2 3 3 4 2 4" xfId="20850" xr:uid="{6F9B0BC3-4600-45A5-A5F5-682D15E97DC4}"/>
    <cellStyle name="Normal 5 2 2 3 3 4 3" xfId="6032" xr:uid="{00000000-0005-0000-0000-0000CB170000}"/>
    <cellStyle name="Normal 5 2 2 3 3 4 3 2" xfId="14482" xr:uid="{4CDDEDBB-0E52-4A51-B0AA-8716770D6C70}"/>
    <cellStyle name="Normal 5 2 2 3 3 4 3 3" xfId="22922" xr:uid="{41869EC5-2D47-4562-98E8-F24E4932FEE2}"/>
    <cellStyle name="Normal 5 2 2 3 3 4 4" xfId="10264" xr:uid="{CCE455B7-A278-4E6E-A841-014F98107BA5}"/>
    <cellStyle name="Normal 5 2 2 3 3 4 5" xfId="18705" xr:uid="{4A9D3628-3ED1-496E-B017-0461C90BE5DF}"/>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7C33C5F3-7501-41FB-8655-61977427C9BF}"/>
    <cellStyle name="Normal 5 2 2 3 3 5 2 2 3" xfId="25480" xr:uid="{1205E5E0-8847-4A46-BDF0-427D131638E1}"/>
    <cellStyle name="Normal 5 2 2 3 3 5 2 3" xfId="12822" xr:uid="{1B7917FA-413C-4B79-B9A5-48577AEFBA94}"/>
    <cellStyle name="Normal 5 2 2 3 3 5 2 4" xfId="21263" xr:uid="{825AF241-92CD-4B2D-801A-95AF58A1F461}"/>
    <cellStyle name="Normal 5 2 2 3 3 5 3" xfId="6445" xr:uid="{00000000-0005-0000-0000-0000CF170000}"/>
    <cellStyle name="Normal 5 2 2 3 3 5 3 2" xfId="14895" xr:uid="{5C97B0E2-22A6-4D63-AEA9-CB7301ED249B}"/>
    <cellStyle name="Normal 5 2 2 3 3 5 3 3" xfId="23335" xr:uid="{FA126688-C8FB-4D3C-9F47-1380B6D4B447}"/>
    <cellStyle name="Normal 5 2 2 3 3 5 4" xfId="10677" xr:uid="{4FB95EDD-046F-437E-AB46-060B448484DA}"/>
    <cellStyle name="Normal 5 2 2 3 3 5 5" xfId="19118" xr:uid="{B14A114F-1EF0-4CCC-872D-644D53B91963}"/>
    <cellStyle name="Normal 5 2 2 3 3 6" xfId="2575" xr:uid="{00000000-0005-0000-0000-0000D0170000}"/>
    <cellStyle name="Normal 5 2 2 3 3 6 2" xfId="6858" xr:uid="{00000000-0005-0000-0000-0000D1170000}"/>
    <cellStyle name="Normal 5 2 2 3 3 6 2 2" xfId="15308" xr:uid="{FB373583-E054-4BD9-88E3-FE8D7FB397AE}"/>
    <cellStyle name="Normal 5 2 2 3 3 6 2 3" xfId="23748" xr:uid="{8773CC9C-F442-4237-9B97-848B6B92A9BB}"/>
    <cellStyle name="Normal 5 2 2 3 3 6 3" xfId="11090" xr:uid="{2BB71792-5A1A-4795-A11C-1A0A6F50B7E9}"/>
    <cellStyle name="Normal 5 2 2 3 3 6 4" xfId="19531" xr:uid="{4184E319-F4E5-4EB0-ADF9-65FB0AF49448}"/>
    <cellStyle name="Normal 5 2 2 3 3 7" xfId="4793" xr:uid="{00000000-0005-0000-0000-0000D2170000}"/>
    <cellStyle name="Normal 5 2 2 3 3 7 2" xfId="13243" xr:uid="{511C9652-B3BB-46DE-9C1E-76A75DA65B09}"/>
    <cellStyle name="Normal 5 2 2 3 3 7 3" xfId="21683" xr:uid="{51EB1536-8127-4E7D-8DF1-64C167C21A2F}"/>
    <cellStyle name="Normal 5 2 2 3 3 8" xfId="9025" xr:uid="{E1C3B3BE-4052-48C3-86B5-C85F1A3758BA}"/>
    <cellStyle name="Normal 5 2 2 3 3 9" xfId="17466" xr:uid="{5ACC6C15-50D4-42BF-945C-545AEB3A060F}"/>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51285059-7468-4A10-BFF3-B36D4C0CCF9D}"/>
    <cellStyle name="Normal 5 2 2 3 4 2 2 3" xfId="24238" xr:uid="{FDBC3756-C69F-4198-A321-CC0B9165FE0F}"/>
    <cellStyle name="Normal 5 2 2 3 4 2 3" xfId="11580" xr:uid="{F5DF229A-B5AA-489D-8FC5-798C8CF36E28}"/>
    <cellStyle name="Normal 5 2 2 3 4 2 4" xfId="20021" xr:uid="{AB78FFF6-9E5C-4BE0-8FA5-4F9435780ED5}"/>
    <cellStyle name="Normal 5 2 2 3 4 3" xfId="5203" xr:uid="{00000000-0005-0000-0000-0000D6170000}"/>
    <cellStyle name="Normal 5 2 2 3 4 3 2" xfId="13653" xr:uid="{C1B1F3BD-994C-41D1-8FB5-C0E1135A8AFE}"/>
    <cellStyle name="Normal 5 2 2 3 4 3 3" xfId="22093" xr:uid="{80E71B6C-1DF4-449D-A9D0-B5478EBEF66F}"/>
    <cellStyle name="Normal 5 2 2 3 4 4" xfId="9435" xr:uid="{664D5CE9-5C1D-4728-9014-1BF45D2B9D69}"/>
    <cellStyle name="Normal 5 2 2 3 4 5" xfId="17876" xr:uid="{F00F7BB9-C8CE-42D3-BD8D-0A26737FFD1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2488BC5C-EE55-4B2F-BDD6-D7E105A8C56E}"/>
    <cellStyle name="Normal 5 2 2 3 5 2 2 3" xfId="24651" xr:uid="{0FDCC935-FEEE-4771-A56F-63D1CD1A7900}"/>
    <cellStyle name="Normal 5 2 2 3 5 2 3" xfId="11993" xr:uid="{92BC7140-5E8D-403C-B397-760C49423C65}"/>
    <cellStyle name="Normal 5 2 2 3 5 2 4" xfId="20434" xr:uid="{02240011-A27A-45B1-AA6D-33D5921B90BC}"/>
    <cellStyle name="Normal 5 2 2 3 5 3" xfId="5616" xr:uid="{00000000-0005-0000-0000-0000DA170000}"/>
    <cellStyle name="Normal 5 2 2 3 5 3 2" xfId="14066" xr:uid="{BF52848D-DE5A-4054-8D22-38382D1FFA39}"/>
    <cellStyle name="Normal 5 2 2 3 5 3 3" xfId="22506" xr:uid="{ED183DAC-21B9-4D7D-B1AA-7FB6BB664F88}"/>
    <cellStyle name="Normal 5 2 2 3 5 4" xfId="9848" xr:uid="{CC470E93-8918-475D-801E-03AD1CE1F66A}"/>
    <cellStyle name="Normal 5 2 2 3 5 5" xfId="18289" xr:uid="{3A6163DC-2A3C-499B-BBEB-436FCF1335D5}"/>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64D274D8-70AF-44E8-89EA-017ED99A61C7}"/>
    <cellStyle name="Normal 5 2 2 3 6 2 2 3" xfId="25064" xr:uid="{8877C605-6B35-4E5D-84C2-8DD5A90C9C93}"/>
    <cellStyle name="Normal 5 2 2 3 6 2 3" xfId="12406" xr:uid="{74D28299-99D0-4A1A-8571-8B13C505BF70}"/>
    <cellStyle name="Normal 5 2 2 3 6 2 4" xfId="20847" xr:uid="{76E11312-2B81-49C1-90DC-70A2EBDE2682}"/>
    <cellStyle name="Normal 5 2 2 3 6 3" xfId="6029" xr:uid="{00000000-0005-0000-0000-0000DE170000}"/>
    <cellStyle name="Normal 5 2 2 3 6 3 2" xfId="14479" xr:uid="{5B1DAB46-03FF-44A2-B6C1-68A0611B6DA1}"/>
    <cellStyle name="Normal 5 2 2 3 6 3 3" xfId="22919" xr:uid="{2A3248BF-0396-4C24-8B23-E217A53AB3C1}"/>
    <cellStyle name="Normal 5 2 2 3 6 4" xfId="10261" xr:uid="{4C4B86CC-3641-4559-9ED0-0081184F5570}"/>
    <cellStyle name="Normal 5 2 2 3 6 5" xfId="18702" xr:uid="{F8E0E8BD-5C60-4C8A-B3A1-EE1952A5FA13}"/>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98A0674B-522B-4382-A544-503567709175}"/>
    <cellStyle name="Normal 5 2 2 3 7 2 2 3" xfId="25477" xr:uid="{54298980-1A9B-4202-8923-D26F07EA68F0}"/>
    <cellStyle name="Normal 5 2 2 3 7 2 3" xfId="12819" xr:uid="{3B3C00FE-BDDD-4DD9-A0D7-D5F4CA2428B4}"/>
    <cellStyle name="Normal 5 2 2 3 7 2 4" xfId="21260" xr:uid="{01A6681C-3B30-4EDD-B6B3-AB0FC6BF3327}"/>
    <cellStyle name="Normal 5 2 2 3 7 3" xfId="6442" xr:uid="{00000000-0005-0000-0000-0000E2170000}"/>
    <cellStyle name="Normal 5 2 2 3 7 3 2" xfId="14892" xr:uid="{C0EA9258-5AF4-4D3A-9AE0-0F4DF24AAD03}"/>
    <cellStyle name="Normal 5 2 2 3 7 3 3" xfId="23332" xr:uid="{C2A87D6E-D81A-42A3-88FA-4734F12237FE}"/>
    <cellStyle name="Normal 5 2 2 3 7 4" xfId="10674" xr:uid="{4CF12F9B-A836-4B56-81D7-280F4922F5F3}"/>
    <cellStyle name="Normal 5 2 2 3 7 5" xfId="19115" xr:uid="{BB48DDB4-C7D5-4429-A02D-8277DEC0AC68}"/>
    <cellStyle name="Normal 5 2 2 3 8" xfId="2572" xr:uid="{00000000-0005-0000-0000-0000E3170000}"/>
    <cellStyle name="Normal 5 2 2 3 8 2" xfId="6855" xr:uid="{00000000-0005-0000-0000-0000E4170000}"/>
    <cellStyle name="Normal 5 2 2 3 8 2 2" xfId="15305" xr:uid="{06014E4E-3B96-4DD8-BF16-4B8E2E45E451}"/>
    <cellStyle name="Normal 5 2 2 3 8 2 3" xfId="23745" xr:uid="{91EECA31-3C7F-4768-BF08-3BD8635368EE}"/>
    <cellStyle name="Normal 5 2 2 3 8 3" xfId="11087" xr:uid="{201D386C-31EA-4C51-A50E-88A9CB7EF67A}"/>
    <cellStyle name="Normal 5 2 2 3 8 4" xfId="19528" xr:uid="{60283220-D725-42A7-9C10-A3D2644EE389}"/>
    <cellStyle name="Normal 5 2 2 3 9" xfId="4790" xr:uid="{00000000-0005-0000-0000-0000E5170000}"/>
    <cellStyle name="Normal 5 2 2 3 9 2" xfId="13240" xr:uid="{962DDFBC-143E-4B52-9CA6-F4353B249AE8}"/>
    <cellStyle name="Normal 5 2 2 3 9 3" xfId="21680" xr:uid="{14C286E2-AD7F-4622-AF12-57C4E81844F9}"/>
    <cellStyle name="Normal 5 2 2 4" xfId="421" xr:uid="{00000000-0005-0000-0000-0000E6170000}"/>
    <cellStyle name="Normal 5 2 2 4 10" xfId="17467" xr:uid="{54C10AC8-B145-4F7B-9868-BEAF90E3BBB1}"/>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F6D5163C-8B7B-4DEE-976C-AAE6C0A65386}"/>
    <cellStyle name="Normal 5 2 2 4 2 2 2 2 3" xfId="24243" xr:uid="{15D4741A-D43F-46E0-991E-ABA381E52490}"/>
    <cellStyle name="Normal 5 2 2 4 2 2 2 3" xfId="11585" xr:uid="{63C39CA9-B121-4606-A44D-5241BA1E69B9}"/>
    <cellStyle name="Normal 5 2 2 4 2 2 2 4" xfId="20026" xr:uid="{8B43459A-D15A-457B-9804-C07B1C00F9E7}"/>
    <cellStyle name="Normal 5 2 2 4 2 2 3" xfId="5208" xr:uid="{00000000-0005-0000-0000-0000EB170000}"/>
    <cellStyle name="Normal 5 2 2 4 2 2 3 2" xfId="13658" xr:uid="{D8364BE8-B9A7-4816-9ADE-C98A1FAADCD8}"/>
    <cellStyle name="Normal 5 2 2 4 2 2 3 3" xfId="22098" xr:uid="{EA890DDA-3872-475C-A82A-9E8CDE3B8BCE}"/>
    <cellStyle name="Normal 5 2 2 4 2 2 4" xfId="9440" xr:uid="{4298AAF8-8655-48A8-AC73-886A0EFA0CAB}"/>
    <cellStyle name="Normal 5 2 2 4 2 2 5" xfId="17881" xr:uid="{63BF7C40-C372-4D0B-984D-F429111FB64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E36369A7-D9D4-4E32-88F9-8EF9E674AD41}"/>
    <cellStyle name="Normal 5 2 2 4 2 3 2 2 3" xfId="24656" xr:uid="{1C284C03-8072-4B7B-89A2-D319C188454A}"/>
    <cellStyle name="Normal 5 2 2 4 2 3 2 3" xfId="11998" xr:uid="{07EB3DE2-0F66-4630-8B29-448331929F93}"/>
    <cellStyle name="Normal 5 2 2 4 2 3 2 4" xfId="20439" xr:uid="{DD81CA8E-B81E-4ECA-9217-D05325F6F752}"/>
    <cellStyle name="Normal 5 2 2 4 2 3 3" xfId="5621" xr:uid="{00000000-0005-0000-0000-0000EF170000}"/>
    <cellStyle name="Normal 5 2 2 4 2 3 3 2" xfId="14071" xr:uid="{BA1499CE-A437-4BB5-9F5E-0E6B71545185}"/>
    <cellStyle name="Normal 5 2 2 4 2 3 3 3" xfId="22511" xr:uid="{1485C401-A360-4915-80B0-57B7179511A4}"/>
    <cellStyle name="Normal 5 2 2 4 2 3 4" xfId="9853" xr:uid="{105E7B1C-5563-4366-83E6-146E9C65438F}"/>
    <cellStyle name="Normal 5 2 2 4 2 3 5" xfId="18294" xr:uid="{ACE43296-B753-4992-96C1-A3BB85A3A7B4}"/>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3CF61489-3C11-4232-BCE7-FC21F19A6879}"/>
    <cellStyle name="Normal 5 2 2 4 2 4 2 2 3" xfId="25069" xr:uid="{4FD9AD22-ACA7-4F49-9642-7ACE057582A1}"/>
    <cellStyle name="Normal 5 2 2 4 2 4 2 3" xfId="12411" xr:uid="{52632726-B337-4E83-9C8D-42DF9FBBB3C9}"/>
    <cellStyle name="Normal 5 2 2 4 2 4 2 4" xfId="20852" xr:uid="{C2F0831D-E51C-402A-87E5-1F416AAD4B84}"/>
    <cellStyle name="Normal 5 2 2 4 2 4 3" xfId="6034" xr:uid="{00000000-0005-0000-0000-0000F3170000}"/>
    <cellStyle name="Normal 5 2 2 4 2 4 3 2" xfId="14484" xr:uid="{B14B41DD-BF62-4CCF-88B7-2CFFF481E8AB}"/>
    <cellStyle name="Normal 5 2 2 4 2 4 3 3" xfId="22924" xr:uid="{D859FF4E-BAB1-4FF3-B91C-1C8DCDF4D520}"/>
    <cellStyle name="Normal 5 2 2 4 2 4 4" xfId="10266" xr:uid="{4CE8AB9D-C491-4C16-ACFC-6181B2ACC3AD}"/>
    <cellStyle name="Normal 5 2 2 4 2 4 5" xfId="18707" xr:uid="{9F46A89B-A159-4E60-8AD7-CF622FA56525}"/>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5C8B6D6D-696F-474F-80CA-294DA7BC36A5}"/>
    <cellStyle name="Normal 5 2 2 4 2 5 2 2 3" xfId="25482" xr:uid="{22BDB310-3C47-4C78-A9F1-647CAA53EF2B}"/>
    <cellStyle name="Normal 5 2 2 4 2 5 2 3" xfId="12824" xr:uid="{ED1A2FEE-3CA9-4F2E-A2B6-27C0332F9F1C}"/>
    <cellStyle name="Normal 5 2 2 4 2 5 2 4" xfId="21265" xr:uid="{386E3D92-B9DE-49D2-8F83-8EE2A632CE85}"/>
    <cellStyle name="Normal 5 2 2 4 2 5 3" xfId="6447" xr:uid="{00000000-0005-0000-0000-0000F7170000}"/>
    <cellStyle name="Normal 5 2 2 4 2 5 3 2" xfId="14897" xr:uid="{CCCCB563-7E9B-43CA-BD77-3851F8DAF078}"/>
    <cellStyle name="Normal 5 2 2 4 2 5 3 3" xfId="23337" xr:uid="{E26344D9-9997-4608-BC48-05CE78013B83}"/>
    <cellStyle name="Normal 5 2 2 4 2 5 4" xfId="10679" xr:uid="{BE18CA69-130D-4B4C-8891-1902FB9F4138}"/>
    <cellStyle name="Normal 5 2 2 4 2 5 5" xfId="19120" xr:uid="{87329660-AE9C-4465-8151-9B620E970D49}"/>
    <cellStyle name="Normal 5 2 2 4 2 6" xfId="2577" xr:uid="{00000000-0005-0000-0000-0000F8170000}"/>
    <cellStyle name="Normal 5 2 2 4 2 6 2" xfId="6860" xr:uid="{00000000-0005-0000-0000-0000F9170000}"/>
    <cellStyle name="Normal 5 2 2 4 2 6 2 2" xfId="15310" xr:uid="{427B81BD-F73B-40A8-B67A-3B4A2EBF4568}"/>
    <cellStyle name="Normal 5 2 2 4 2 6 2 3" xfId="23750" xr:uid="{CFB243F8-D7A0-41E9-A60E-F5718C6EB08C}"/>
    <cellStyle name="Normal 5 2 2 4 2 6 3" xfId="11092" xr:uid="{568EDBC8-35EC-45F9-8940-B8E09C321EF4}"/>
    <cellStyle name="Normal 5 2 2 4 2 6 4" xfId="19533" xr:uid="{9C0DD96C-B36A-420C-BA64-7DB0382DBB79}"/>
    <cellStyle name="Normal 5 2 2 4 2 7" xfId="4795" xr:uid="{00000000-0005-0000-0000-0000FA170000}"/>
    <cellStyle name="Normal 5 2 2 4 2 7 2" xfId="13245" xr:uid="{1565270A-C96A-45DD-A046-8F37468C871E}"/>
    <cellStyle name="Normal 5 2 2 4 2 7 3" xfId="21685" xr:uid="{499B500A-6631-45E9-8A23-587D83D4A21F}"/>
    <cellStyle name="Normal 5 2 2 4 2 8" xfId="9027" xr:uid="{8C9A2196-73E7-4D0B-B73C-4E5B47197D00}"/>
    <cellStyle name="Normal 5 2 2 4 2 9" xfId="17468" xr:uid="{741AA961-64A6-4E69-B077-07DFCBF8939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E43377E5-50D8-476A-BC3B-019399C53578}"/>
    <cellStyle name="Normal 5 2 2 4 3 2 2 3" xfId="24242" xr:uid="{437E07C4-036C-45AD-83C6-2657D0B331CF}"/>
    <cellStyle name="Normal 5 2 2 4 3 2 3" xfId="11584" xr:uid="{8268234E-2847-4DE8-AAE3-4B0C52681E32}"/>
    <cellStyle name="Normal 5 2 2 4 3 2 4" xfId="20025" xr:uid="{A06FC10A-E6CF-4939-8B9F-8A9709C9FD9D}"/>
    <cellStyle name="Normal 5 2 2 4 3 3" xfId="5207" xr:uid="{00000000-0005-0000-0000-0000FE170000}"/>
    <cellStyle name="Normal 5 2 2 4 3 3 2" xfId="13657" xr:uid="{C591622A-88EE-4A25-BA93-EFA3154580EE}"/>
    <cellStyle name="Normal 5 2 2 4 3 3 3" xfId="22097" xr:uid="{5A1A7D9C-1B6D-4B55-B0EA-5C2334A2A040}"/>
    <cellStyle name="Normal 5 2 2 4 3 4" xfId="9439" xr:uid="{B4B65CD9-DA64-4E3D-A639-6D18AEEDC403}"/>
    <cellStyle name="Normal 5 2 2 4 3 5" xfId="17880" xr:uid="{7A44738A-254F-44E6-8209-4E6203FEEBF0}"/>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F6FAC47B-726B-409E-BDA2-9999BDB3AD80}"/>
    <cellStyle name="Normal 5 2 2 4 4 2 2 3" xfId="24655" xr:uid="{E68780A5-B91C-4BCF-94D4-DD29CF013CF4}"/>
    <cellStyle name="Normal 5 2 2 4 4 2 3" xfId="11997" xr:uid="{66224BCB-FE9E-4826-830B-6B0A11E6EAD8}"/>
    <cellStyle name="Normal 5 2 2 4 4 2 4" xfId="20438" xr:uid="{8EE522F8-7815-4D31-A269-A9DD3A45B417}"/>
    <cellStyle name="Normal 5 2 2 4 4 3" xfId="5620" xr:uid="{00000000-0005-0000-0000-000002180000}"/>
    <cellStyle name="Normal 5 2 2 4 4 3 2" xfId="14070" xr:uid="{265DC70B-57CD-4C6E-9DF2-D76951EF574D}"/>
    <cellStyle name="Normal 5 2 2 4 4 3 3" xfId="22510" xr:uid="{136BE32E-014E-4D43-8D4A-319DF0896877}"/>
    <cellStyle name="Normal 5 2 2 4 4 4" xfId="9852" xr:uid="{56C7C6AD-6A9F-48F4-B653-5C346F91F364}"/>
    <cellStyle name="Normal 5 2 2 4 4 5" xfId="18293" xr:uid="{A0B81470-D85F-4008-9E56-2B2AC522A28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1C0896D1-2CF0-4E4E-967F-BE04B5E503C0}"/>
    <cellStyle name="Normal 5 2 2 4 5 2 2 3" xfId="25068" xr:uid="{F08845B0-C4EA-4924-9551-05B08249EF13}"/>
    <cellStyle name="Normal 5 2 2 4 5 2 3" xfId="12410" xr:uid="{E85E8082-1F29-46D7-9DAF-8BB8396E4FB7}"/>
    <cellStyle name="Normal 5 2 2 4 5 2 4" xfId="20851" xr:uid="{7F1D1703-66F9-4444-82EA-8A5BEE22AF1D}"/>
    <cellStyle name="Normal 5 2 2 4 5 3" xfId="6033" xr:uid="{00000000-0005-0000-0000-000006180000}"/>
    <cellStyle name="Normal 5 2 2 4 5 3 2" xfId="14483" xr:uid="{0F851AB9-9C2E-4A3A-AEB8-AA558EBF8EC3}"/>
    <cellStyle name="Normal 5 2 2 4 5 3 3" xfId="22923" xr:uid="{74A73431-5A51-4763-AB8B-2EDBA62BAF46}"/>
    <cellStyle name="Normal 5 2 2 4 5 4" xfId="10265" xr:uid="{AADD47CD-341F-4BBB-BA76-6D2D542E7340}"/>
    <cellStyle name="Normal 5 2 2 4 5 5" xfId="18706" xr:uid="{988453A8-1712-4693-B54E-FED68ACAE186}"/>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6CCFD18B-C549-45C2-B86A-CB36CC44919B}"/>
    <cellStyle name="Normal 5 2 2 4 6 2 2 3" xfId="25481" xr:uid="{9AE601F5-2B48-4B28-A128-2B41E40DD84B}"/>
    <cellStyle name="Normal 5 2 2 4 6 2 3" xfId="12823" xr:uid="{6CFF5D3D-E275-42CF-89B1-E7F6061DD15A}"/>
    <cellStyle name="Normal 5 2 2 4 6 2 4" xfId="21264" xr:uid="{4EF52F1F-8098-410F-96FF-64C267D67BD7}"/>
    <cellStyle name="Normal 5 2 2 4 6 3" xfId="6446" xr:uid="{00000000-0005-0000-0000-00000A180000}"/>
    <cellStyle name="Normal 5 2 2 4 6 3 2" xfId="14896" xr:uid="{E7E7B8D6-E5BC-4983-841F-C736C8629476}"/>
    <cellStyle name="Normal 5 2 2 4 6 3 3" xfId="23336" xr:uid="{EFEB8282-998A-43A0-BF3F-F5AECACD6F67}"/>
    <cellStyle name="Normal 5 2 2 4 6 4" xfId="10678" xr:uid="{EB673B02-1CCD-4452-B6B3-6BE61422EA7F}"/>
    <cellStyle name="Normal 5 2 2 4 6 5" xfId="19119" xr:uid="{9D66B7A1-A69D-42EE-8BC5-8399BB2B38D8}"/>
    <cellStyle name="Normal 5 2 2 4 7" xfId="2576" xr:uid="{00000000-0005-0000-0000-00000B180000}"/>
    <cellStyle name="Normal 5 2 2 4 7 2" xfId="6859" xr:uid="{00000000-0005-0000-0000-00000C180000}"/>
    <cellStyle name="Normal 5 2 2 4 7 2 2" xfId="15309" xr:uid="{22C430D1-816E-4936-9469-4616B5A4A145}"/>
    <cellStyle name="Normal 5 2 2 4 7 2 3" xfId="23749" xr:uid="{5023ED95-7961-4222-AEC9-E2EDEF4E5699}"/>
    <cellStyle name="Normal 5 2 2 4 7 3" xfId="11091" xr:uid="{026D4A4E-2341-411C-A217-7BF61AF5873D}"/>
    <cellStyle name="Normal 5 2 2 4 7 4" xfId="19532" xr:uid="{D3A44D9A-7F02-4144-88B3-35414AC29DB7}"/>
    <cellStyle name="Normal 5 2 2 4 8" xfId="4794" xr:uid="{00000000-0005-0000-0000-00000D180000}"/>
    <cellStyle name="Normal 5 2 2 4 8 2" xfId="13244" xr:uid="{FE143CEA-2FA2-4366-A0E7-22D3DB6ACF02}"/>
    <cellStyle name="Normal 5 2 2 4 8 3" xfId="21684" xr:uid="{DF69BB7B-929F-41FB-9523-1529F17083FA}"/>
    <cellStyle name="Normal 5 2 2 4 9" xfId="9026" xr:uid="{3A9F72FE-129D-4D9B-A1EA-BDBBC9B2027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973AEBD5-96F3-4D7F-A1F2-963B9908E9ED}"/>
    <cellStyle name="Normal 5 2 2 5 2 2 2 3" xfId="24244" xr:uid="{A43FE8E7-99BF-4AF3-A7E7-C948B78CF01E}"/>
    <cellStyle name="Normal 5 2 2 5 2 2 3" xfId="11586" xr:uid="{ED2DD29F-4634-49A5-8FF9-2172C2834E21}"/>
    <cellStyle name="Normal 5 2 2 5 2 2 4" xfId="20027" xr:uid="{D393C743-9C15-4C0D-A5B3-1C0F00C78B45}"/>
    <cellStyle name="Normal 5 2 2 5 2 3" xfId="5209" xr:uid="{00000000-0005-0000-0000-000012180000}"/>
    <cellStyle name="Normal 5 2 2 5 2 3 2" xfId="13659" xr:uid="{8CF0AA70-86B7-4915-ABEA-DE3637E4001D}"/>
    <cellStyle name="Normal 5 2 2 5 2 3 3" xfId="22099" xr:uid="{74A6BA9D-6CEF-46B9-B3FB-F2A981644CC2}"/>
    <cellStyle name="Normal 5 2 2 5 2 4" xfId="9441" xr:uid="{A0ADEA0C-F2D3-4370-98DE-9D8BE9E49388}"/>
    <cellStyle name="Normal 5 2 2 5 2 5" xfId="17882" xr:uid="{F1B066D3-5A8D-447A-AC3F-5E7023C7013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9859C1F2-8588-45F3-9295-70BF3FD86EDB}"/>
    <cellStyle name="Normal 5 2 2 5 3 2 2 3" xfId="24657" xr:uid="{0E61D93B-4FDD-4F9A-A1BC-610FB205C2FB}"/>
    <cellStyle name="Normal 5 2 2 5 3 2 3" xfId="11999" xr:uid="{3D4B8028-99FE-4AED-B636-E1A18D4A9407}"/>
    <cellStyle name="Normal 5 2 2 5 3 2 4" xfId="20440" xr:uid="{4F9341DA-81C2-41C0-B234-71CAD6D0E5CF}"/>
    <cellStyle name="Normal 5 2 2 5 3 3" xfId="5622" xr:uid="{00000000-0005-0000-0000-000016180000}"/>
    <cellStyle name="Normal 5 2 2 5 3 3 2" xfId="14072" xr:uid="{4824BFA0-0BFE-40DE-ABB3-5CC26683C5BB}"/>
    <cellStyle name="Normal 5 2 2 5 3 3 3" xfId="22512" xr:uid="{F35BE6C3-66AD-413F-8E8D-6E7D9D1B87C2}"/>
    <cellStyle name="Normal 5 2 2 5 3 4" xfId="9854" xr:uid="{693A3D13-E8DA-43EA-B7B6-AA58952693DD}"/>
    <cellStyle name="Normal 5 2 2 5 3 5" xfId="18295" xr:uid="{749E6BA1-6006-4B2E-8760-E76FDE57AD7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C7710AD1-32EB-4E97-B623-6FC05A9520D4}"/>
    <cellStyle name="Normal 5 2 2 5 4 2 2 3" xfId="25070" xr:uid="{7A11B864-9950-4383-A955-01A3D4CADD6C}"/>
    <cellStyle name="Normal 5 2 2 5 4 2 3" xfId="12412" xr:uid="{DBA561D9-7FCA-4308-844B-7490ED4D53EF}"/>
    <cellStyle name="Normal 5 2 2 5 4 2 4" xfId="20853" xr:uid="{B93E1FDD-3B4A-407B-9529-CCF5256175C0}"/>
    <cellStyle name="Normal 5 2 2 5 4 3" xfId="6035" xr:uid="{00000000-0005-0000-0000-00001A180000}"/>
    <cellStyle name="Normal 5 2 2 5 4 3 2" xfId="14485" xr:uid="{036717AE-64B1-4AC9-8560-3B05727C0EAD}"/>
    <cellStyle name="Normal 5 2 2 5 4 3 3" xfId="22925" xr:uid="{E62FF725-A874-4BFB-A7EF-CBFFD2882915}"/>
    <cellStyle name="Normal 5 2 2 5 4 4" xfId="10267" xr:uid="{A4198DB9-8FA8-4E8F-A9C3-891BD7FE033D}"/>
    <cellStyle name="Normal 5 2 2 5 4 5" xfId="18708" xr:uid="{47FE281F-494C-4FEF-A306-7DF8777231A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0C153D7C-AAC8-4D6D-BB32-BEE98B5AC514}"/>
    <cellStyle name="Normal 5 2 2 5 5 2 2 3" xfId="25483" xr:uid="{51759F66-ED5A-46A7-B9AE-6BE5A16C016C}"/>
    <cellStyle name="Normal 5 2 2 5 5 2 3" xfId="12825" xr:uid="{7DD8AFB3-A3ED-4B17-BD77-0E85E4258CD7}"/>
    <cellStyle name="Normal 5 2 2 5 5 2 4" xfId="21266" xr:uid="{1E67E61A-00D4-4A3F-9110-6CB3560206D4}"/>
    <cellStyle name="Normal 5 2 2 5 5 3" xfId="6448" xr:uid="{00000000-0005-0000-0000-00001E180000}"/>
    <cellStyle name="Normal 5 2 2 5 5 3 2" xfId="14898" xr:uid="{802DD1BE-0908-4B70-9ABD-3CA45E324E3A}"/>
    <cellStyle name="Normal 5 2 2 5 5 3 3" xfId="23338" xr:uid="{660E327E-C882-4997-83AA-8184563590D3}"/>
    <cellStyle name="Normal 5 2 2 5 5 4" xfId="10680" xr:uid="{926DE124-74F4-421B-95BB-DD5A20B1039E}"/>
    <cellStyle name="Normal 5 2 2 5 5 5" xfId="19121" xr:uid="{FB0A8B98-5A65-47F0-96DF-DD1F00095E7F}"/>
    <cellStyle name="Normal 5 2 2 5 6" xfId="2578" xr:uid="{00000000-0005-0000-0000-00001F180000}"/>
    <cellStyle name="Normal 5 2 2 5 6 2" xfId="6861" xr:uid="{00000000-0005-0000-0000-000020180000}"/>
    <cellStyle name="Normal 5 2 2 5 6 2 2" xfId="15311" xr:uid="{F6EC21DC-A9B2-4E5D-B1D7-7085BBF451C4}"/>
    <cellStyle name="Normal 5 2 2 5 6 2 3" xfId="23751" xr:uid="{9057F263-4907-4E99-AA8A-FCC955E67510}"/>
    <cellStyle name="Normal 5 2 2 5 6 3" xfId="11093" xr:uid="{B1582CE6-1955-4B85-BD38-E84576939F70}"/>
    <cellStyle name="Normal 5 2 2 5 6 4" xfId="19534" xr:uid="{D66472F4-A5CF-41C0-94FD-7DF2E59A670C}"/>
    <cellStyle name="Normal 5 2 2 5 7" xfId="4796" xr:uid="{00000000-0005-0000-0000-000021180000}"/>
    <cellStyle name="Normal 5 2 2 5 7 2" xfId="13246" xr:uid="{594A89FF-D2EA-4C16-994D-650C76D6E993}"/>
    <cellStyle name="Normal 5 2 2 5 7 3" xfId="21686" xr:uid="{0A498D1E-AEFE-4E31-A1E9-3B0FD35D6E73}"/>
    <cellStyle name="Normal 5 2 2 5 8" xfId="9028" xr:uid="{A907B096-71A5-44CD-950F-F2A8DE5189A6}"/>
    <cellStyle name="Normal 5 2 2 5 9" xfId="17469" xr:uid="{3EBEE177-4431-4D4D-95CB-A8B70462A07B}"/>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4EF8C921-F3F7-4EE4-9332-CE53C0B601E4}"/>
    <cellStyle name="Normal 5 2 2 6 2 2 3" xfId="24229" xr:uid="{55B6967E-4602-4AF8-9E1D-6BF20C62CEE7}"/>
    <cellStyle name="Normal 5 2 2 6 2 3" xfId="11571" xr:uid="{2CA52E36-ADB3-4E10-BD41-BAAB313FB146}"/>
    <cellStyle name="Normal 5 2 2 6 2 4" xfId="20012" xr:uid="{D786907E-87FD-4CF6-A00C-6B5EFF04C99D}"/>
    <cellStyle name="Normal 5 2 2 6 3" xfId="5194" xr:uid="{00000000-0005-0000-0000-000025180000}"/>
    <cellStyle name="Normal 5 2 2 6 3 2" xfId="13644" xr:uid="{C6D46C40-9DF6-4004-AB58-F6C0870BC528}"/>
    <cellStyle name="Normal 5 2 2 6 3 3" xfId="22084" xr:uid="{082D5DD8-FAB0-4DFB-A74D-7D86A3B9D28A}"/>
    <cellStyle name="Normal 5 2 2 6 4" xfId="9426" xr:uid="{435E0FD2-9D25-484A-A560-13A27EBD2600}"/>
    <cellStyle name="Normal 5 2 2 6 5" xfId="17867" xr:uid="{527BAADD-F87F-4AC3-9E54-73D98E28656B}"/>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51446910-51AC-4028-BB5A-943BE292F289}"/>
    <cellStyle name="Normal 5 2 2 7 2 2 3" xfId="24642" xr:uid="{BE2EAC47-2E5C-43EA-9470-73D98D39C59F}"/>
    <cellStyle name="Normal 5 2 2 7 2 3" xfId="11984" xr:uid="{29877111-4033-4C39-8A09-A6448B0ED36E}"/>
    <cellStyle name="Normal 5 2 2 7 2 4" xfId="20425" xr:uid="{54876B95-1CC8-4B22-905C-1B9FE044F0FA}"/>
    <cellStyle name="Normal 5 2 2 7 3" xfId="5607" xr:uid="{00000000-0005-0000-0000-000029180000}"/>
    <cellStyle name="Normal 5 2 2 7 3 2" xfId="14057" xr:uid="{6D612DCC-10A8-457E-B2FE-2CB73552BF4D}"/>
    <cellStyle name="Normal 5 2 2 7 3 3" xfId="22497" xr:uid="{CB11C8F9-BB30-46B1-B574-154853FF19E5}"/>
    <cellStyle name="Normal 5 2 2 7 4" xfId="9839" xr:uid="{BB157B1D-5F81-41B6-8468-7E72129DEEDB}"/>
    <cellStyle name="Normal 5 2 2 7 5" xfId="18280" xr:uid="{66C0933A-1F56-428C-A746-C626EAE8D11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C64B2ED9-1686-4167-8294-5394D721360D}"/>
    <cellStyle name="Normal 5 2 2 8 2 2 3" xfId="25055" xr:uid="{7AB66985-8DE4-4AF1-B848-A717C8704FAE}"/>
    <cellStyle name="Normal 5 2 2 8 2 3" xfId="12397" xr:uid="{317B4818-A74F-4D75-84DE-2C10C2F384EA}"/>
    <cellStyle name="Normal 5 2 2 8 2 4" xfId="20838" xr:uid="{5F72A260-A0EA-44D7-8BA4-9FE1C5E19743}"/>
    <cellStyle name="Normal 5 2 2 8 3" xfId="6020" xr:uid="{00000000-0005-0000-0000-00002D180000}"/>
    <cellStyle name="Normal 5 2 2 8 3 2" xfId="14470" xr:uid="{6108C81A-5DE6-4273-9289-E795BD5E6B0D}"/>
    <cellStyle name="Normal 5 2 2 8 3 3" xfId="22910" xr:uid="{DA7A43E3-89E9-4A4A-BFE6-BE238D8F9733}"/>
    <cellStyle name="Normal 5 2 2 8 4" xfId="10252" xr:uid="{47C90373-6E2F-4B48-A9B3-7A43AEB2BD83}"/>
    <cellStyle name="Normal 5 2 2 8 5" xfId="18693" xr:uid="{EF81BF9C-3FBB-493E-8206-D9F8EB5F7FBD}"/>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201D7747-09AC-4846-A44D-695BFF83432A}"/>
    <cellStyle name="Normal 5 2 2 9 2 2 3" xfId="25468" xr:uid="{AA02BAF9-2544-45EF-B59C-97F8E491E76E}"/>
    <cellStyle name="Normal 5 2 2 9 2 3" xfId="12810" xr:uid="{81920110-FC63-4365-970B-E047641FC872}"/>
    <cellStyle name="Normal 5 2 2 9 2 4" xfId="21251" xr:uid="{247FAB72-C202-4B18-8EAB-2576DB443B42}"/>
    <cellStyle name="Normal 5 2 2 9 3" xfId="6433" xr:uid="{00000000-0005-0000-0000-000031180000}"/>
    <cellStyle name="Normal 5 2 2 9 3 2" xfId="14883" xr:uid="{6BB71C3C-95F4-4348-B617-D65AC87A9355}"/>
    <cellStyle name="Normal 5 2 2 9 3 3" xfId="23323" xr:uid="{36863A19-A961-4E66-929E-4629B9E23062}"/>
    <cellStyle name="Normal 5 2 2 9 4" xfId="10665" xr:uid="{B3557DB6-6DD8-40EA-95A0-4AF1FB18BBBF}"/>
    <cellStyle name="Normal 5 2 2 9 5" xfId="19106" xr:uid="{12B503EE-727F-4C08-A43F-1E671A4F5A1C}"/>
    <cellStyle name="Normal 5 2 3" xfId="424" xr:uid="{00000000-0005-0000-0000-000032180000}"/>
    <cellStyle name="Normal 5 2 3 10" xfId="4797" xr:uid="{00000000-0005-0000-0000-000033180000}"/>
    <cellStyle name="Normal 5 2 3 10 2" xfId="13247" xr:uid="{F28EE148-AFD6-46EF-8769-3547D5A13AA2}"/>
    <cellStyle name="Normal 5 2 3 10 3" xfId="21687" xr:uid="{A3615944-156C-4631-A47D-7B2379C47C9A}"/>
    <cellStyle name="Normal 5 2 3 11" xfId="9029" xr:uid="{188A078B-DF19-44DE-A7AE-B153C51C65DB}"/>
    <cellStyle name="Normal 5 2 3 12" xfId="17470" xr:uid="{AAFBA8D5-02E7-43D0-ADD9-D8410C18CE53}"/>
    <cellStyle name="Normal 5 2 3 2" xfId="425" xr:uid="{00000000-0005-0000-0000-000034180000}"/>
    <cellStyle name="Normal 5 2 3 2 10" xfId="9030" xr:uid="{99F87507-781D-4940-BC22-2D8351B49C1B}"/>
    <cellStyle name="Normal 5 2 3 2 11" xfId="17471" xr:uid="{6DB4B96E-82A4-4F1E-94E9-8F9B360CC11B}"/>
    <cellStyle name="Normal 5 2 3 2 2" xfId="426" xr:uid="{00000000-0005-0000-0000-000035180000}"/>
    <cellStyle name="Normal 5 2 3 2 2 10" xfId="17472" xr:uid="{E52EE097-3C11-4704-80F3-A696E744857B}"/>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BC965415-7C52-4697-92A1-F174B500B489}"/>
    <cellStyle name="Normal 5 2 3 2 2 2 2 2 2 3" xfId="24248" xr:uid="{6D3F5A52-0790-43C4-B180-1315A4247145}"/>
    <cellStyle name="Normal 5 2 3 2 2 2 2 2 3" xfId="11590" xr:uid="{95215363-06D1-41C9-B915-B6AE146AA27E}"/>
    <cellStyle name="Normal 5 2 3 2 2 2 2 2 4" xfId="20031" xr:uid="{017ECF6E-1329-404D-9485-7A8564748CDD}"/>
    <cellStyle name="Normal 5 2 3 2 2 2 2 3" xfId="5213" xr:uid="{00000000-0005-0000-0000-00003A180000}"/>
    <cellStyle name="Normal 5 2 3 2 2 2 2 3 2" xfId="13663" xr:uid="{6D620FA2-C467-4760-8CDA-2E9AC45BB99E}"/>
    <cellStyle name="Normal 5 2 3 2 2 2 2 3 3" xfId="22103" xr:uid="{26CAB2D7-82CE-4684-BD8C-EC23E953B897}"/>
    <cellStyle name="Normal 5 2 3 2 2 2 2 4" xfId="9445" xr:uid="{7F7A04A8-300E-495E-8692-AB81F4990319}"/>
    <cellStyle name="Normal 5 2 3 2 2 2 2 5" xfId="17886" xr:uid="{C6187678-85C9-4F75-8819-6CB2931AB18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8D2F3738-1B52-4CB9-B999-3D46F81BF8B1}"/>
    <cellStyle name="Normal 5 2 3 2 2 2 3 2 2 3" xfId="24661" xr:uid="{CA79C912-D704-42E9-9E10-E4B8457A7683}"/>
    <cellStyle name="Normal 5 2 3 2 2 2 3 2 3" xfId="12003" xr:uid="{1336562C-6983-4AB4-86FF-C7161B8A416E}"/>
    <cellStyle name="Normal 5 2 3 2 2 2 3 2 4" xfId="20444" xr:uid="{0BEB5249-1F5E-432F-A806-D29FD36784E0}"/>
    <cellStyle name="Normal 5 2 3 2 2 2 3 3" xfId="5626" xr:uid="{00000000-0005-0000-0000-00003E180000}"/>
    <cellStyle name="Normal 5 2 3 2 2 2 3 3 2" xfId="14076" xr:uid="{296F2EFF-C795-451B-85C8-5141A67FED7B}"/>
    <cellStyle name="Normal 5 2 3 2 2 2 3 3 3" xfId="22516" xr:uid="{901206F7-8AFE-405C-9412-2B8E2CC441AC}"/>
    <cellStyle name="Normal 5 2 3 2 2 2 3 4" xfId="9858" xr:uid="{54672C8F-F4EA-4F01-9D2E-DE0FB8987B9F}"/>
    <cellStyle name="Normal 5 2 3 2 2 2 3 5" xfId="18299" xr:uid="{EF19F1BE-A0BE-47C0-ABC2-B4883712258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96B9229C-04EA-4319-BDA6-5B488BB2A759}"/>
    <cellStyle name="Normal 5 2 3 2 2 2 4 2 2 3" xfId="25074" xr:uid="{CE525C8D-2AC8-4D95-814E-271C08BC24BD}"/>
    <cellStyle name="Normal 5 2 3 2 2 2 4 2 3" xfId="12416" xr:uid="{FE80FE13-1901-4E6A-8F33-6C6AFD43B97C}"/>
    <cellStyle name="Normal 5 2 3 2 2 2 4 2 4" xfId="20857" xr:uid="{10F9D3B7-59AC-4FE5-945B-8E92A0A7411A}"/>
    <cellStyle name="Normal 5 2 3 2 2 2 4 3" xfId="6039" xr:uid="{00000000-0005-0000-0000-000042180000}"/>
    <cellStyle name="Normal 5 2 3 2 2 2 4 3 2" xfId="14489" xr:uid="{E30A2772-B9D3-4EBC-8773-BF76EE4DD31C}"/>
    <cellStyle name="Normal 5 2 3 2 2 2 4 3 3" xfId="22929" xr:uid="{FC27F9D8-571B-4B8F-84D4-524AF54B97D2}"/>
    <cellStyle name="Normal 5 2 3 2 2 2 4 4" xfId="10271" xr:uid="{A8A17A5A-602C-4839-828D-1ACF89FDB40C}"/>
    <cellStyle name="Normal 5 2 3 2 2 2 4 5" xfId="18712" xr:uid="{BB769EEF-38DB-401B-B4BD-EF3017710A2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27408D90-5477-4ACC-A009-4D5843CB99E8}"/>
    <cellStyle name="Normal 5 2 3 2 2 2 5 2 2 3" xfId="25487" xr:uid="{B4EE52D5-CAB2-4807-B4B2-0F0614006BD8}"/>
    <cellStyle name="Normal 5 2 3 2 2 2 5 2 3" xfId="12829" xr:uid="{0539C781-9E6D-4705-B859-23739BD23F2E}"/>
    <cellStyle name="Normal 5 2 3 2 2 2 5 2 4" xfId="21270" xr:uid="{F328DBC7-171F-46BC-8E4D-3443A08F396C}"/>
    <cellStyle name="Normal 5 2 3 2 2 2 5 3" xfId="6452" xr:uid="{00000000-0005-0000-0000-000046180000}"/>
    <cellStyle name="Normal 5 2 3 2 2 2 5 3 2" xfId="14902" xr:uid="{A545FD13-95F1-48E3-92FC-7EE006791FB8}"/>
    <cellStyle name="Normal 5 2 3 2 2 2 5 3 3" xfId="23342" xr:uid="{8CA4D213-C0FD-4360-8638-FD0C86C40336}"/>
    <cellStyle name="Normal 5 2 3 2 2 2 5 4" xfId="10684" xr:uid="{8C75F0D2-8FE8-4C69-B353-85F3E8155C06}"/>
    <cellStyle name="Normal 5 2 3 2 2 2 5 5" xfId="19125" xr:uid="{0ACC7047-EACE-4966-A7D2-E0B8676A37C6}"/>
    <cellStyle name="Normal 5 2 3 2 2 2 6" xfId="2582" xr:uid="{00000000-0005-0000-0000-000047180000}"/>
    <cellStyle name="Normal 5 2 3 2 2 2 6 2" xfId="6865" xr:uid="{00000000-0005-0000-0000-000048180000}"/>
    <cellStyle name="Normal 5 2 3 2 2 2 6 2 2" xfId="15315" xr:uid="{88AE5E6C-7D14-4D5E-978D-E31D228552D8}"/>
    <cellStyle name="Normal 5 2 3 2 2 2 6 2 3" xfId="23755" xr:uid="{700F4060-8A2F-4D81-9124-5C5CFBF84F01}"/>
    <cellStyle name="Normal 5 2 3 2 2 2 6 3" xfId="11097" xr:uid="{D15290D6-2D01-426E-9AF3-E3307463D3CA}"/>
    <cellStyle name="Normal 5 2 3 2 2 2 6 4" xfId="19538" xr:uid="{DB1BCDEC-571D-4B57-A097-B6EA4D32A355}"/>
    <cellStyle name="Normal 5 2 3 2 2 2 7" xfId="4800" xr:uid="{00000000-0005-0000-0000-000049180000}"/>
    <cellStyle name="Normal 5 2 3 2 2 2 7 2" xfId="13250" xr:uid="{DF9D0DBB-FCE4-493A-81BB-3AC01CC26E86}"/>
    <cellStyle name="Normal 5 2 3 2 2 2 7 3" xfId="21690" xr:uid="{8AB85D27-6B0E-46DA-9A1C-B38555DC0C9E}"/>
    <cellStyle name="Normal 5 2 3 2 2 2 8" xfId="9032" xr:uid="{56FFFF65-5A23-4F83-9CD6-6637FE347616}"/>
    <cellStyle name="Normal 5 2 3 2 2 2 9" xfId="17473" xr:uid="{EE6F27CB-A34C-4A68-A69C-95AB742F22C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069417A7-1BFC-46AD-9791-A248C644D467}"/>
    <cellStyle name="Normal 5 2 3 2 2 3 2 2 3" xfId="24247" xr:uid="{7C8A1EDA-DCB8-4AC1-A1E1-A7D673472B76}"/>
    <cellStyle name="Normal 5 2 3 2 2 3 2 3" xfId="11589" xr:uid="{F6249C5E-280F-4BAE-9F70-728285A010E9}"/>
    <cellStyle name="Normal 5 2 3 2 2 3 2 4" xfId="20030" xr:uid="{F36EF24E-8825-4DAF-BD91-56ED7432E43A}"/>
    <cellStyle name="Normal 5 2 3 2 2 3 3" xfId="5212" xr:uid="{00000000-0005-0000-0000-00004D180000}"/>
    <cellStyle name="Normal 5 2 3 2 2 3 3 2" xfId="13662" xr:uid="{2C893575-1FFC-435F-BEDB-194EBBF15582}"/>
    <cellStyle name="Normal 5 2 3 2 2 3 3 3" xfId="22102" xr:uid="{FCB0BA84-12DA-4B32-B12C-B1D5105189DB}"/>
    <cellStyle name="Normal 5 2 3 2 2 3 4" xfId="9444" xr:uid="{C831728A-EBF3-464F-AA06-60BA49ABEB84}"/>
    <cellStyle name="Normal 5 2 3 2 2 3 5" xfId="17885" xr:uid="{61A49BBD-112A-4101-AC74-24B1B6045DFE}"/>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CDE97050-F26E-4BE4-B647-063E65915BA8}"/>
    <cellStyle name="Normal 5 2 3 2 2 4 2 2 3" xfId="24660" xr:uid="{A6EC6CA5-C57C-4DAE-A8D9-8B1BEC888C6A}"/>
    <cellStyle name="Normal 5 2 3 2 2 4 2 3" xfId="12002" xr:uid="{C7E0EE69-130E-49CE-926F-80032F0310BB}"/>
    <cellStyle name="Normal 5 2 3 2 2 4 2 4" xfId="20443" xr:uid="{14DD8596-EAF3-46B8-8805-693291E6F49A}"/>
    <cellStyle name="Normal 5 2 3 2 2 4 3" xfId="5625" xr:uid="{00000000-0005-0000-0000-000051180000}"/>
    <cellStyle name="Normal 5 2 3 2 2 4 3 2" xfId="14075" xr:uid="{BF17C029-FF51-4450-8FEA-9B31FCA88533}"/>
    <cellStyle name="Normal 5 2 3 2 2 4 3 3" xfId="22515" xr:uid="{A89E085E-A5A2-49EA-8C88-87763252FE94}"/>
    <cellStyle name="Normal 5 2 3 2 2 4 4" xfId="9857" xr:uid="{42C89438-34D9-492F-A37D-31924DD34091}"/>
    <cellStyle name="Normal 5 2 3 2 2 4 5" xfId="18298" xr:uid="{018DBDC1-DF27-4371-84D9-A55EA083706C}"/>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28BFF4EF-6014-44CE-B255-F41C26657F07}"/>
    <cellStyle name="Normal 5 2 3 2 2 5 2 2 3" xfId="25073" xr:uid="{DC67EA82-9DCE-426E-9A30-58594048FFD9}"/>
    <cellStyle name="Normal 5 2 3 2 2 5 2 3" xfId="12415" xr:uid="{D4809E15-E19F-40DB-A07B-CC5D2827B8F9}"/>
    <cellStyle name="Normal 5 2 3 2 2 5 2 4" xfId="20856" xr:uid="{0E6E6B14-AAEA-467C-BA84-1C76CAD5796E}"/>
    <cellStyle name="Normal 5 2 3 2 2 5 3" xfId="6038" xr:uid="{00000000-0005-0000-0000-000055180000}"/>
    <cellStyle name="Normal 5 2 3 2 2 5 3 2" xfId="14488" xr:uid="{0341679E-957F-4211-80BF-BBB08D9C4536}"/>
    <cellStyle name="Normal 5 2 3 2 2 5 3 3" xfId="22928" xr:uid="{AC2C51FD-460B-4610-8E02-734382992429}"/>
    <cellStyle name="Normal 5 2 3 2 2 5 4" xfId="10270" xr:uid="{2CAF72E3-41CC-42B4-B792-7E2E89F6ECAA}"/>
    <cellStyle name="Normal 5 2 3 2 2 5 5" xfId="18711" xr:uid="{00C873BC-5CC2-4523-B7A3-AF0041F8E11E}"/>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584D5BC4-D2E8-4879-A235-D08F2CB3A255}"/>
    <cellStyle name="Normal 5 2 3 2 2 6 2 2 3" xfId="25486" xr:uid="{ECC1C9A8-39D4-49A3-9E54-938633015443}"/>
    <cellStyle name="Normal 5 2 3 2 2 6 2 3" xfId="12828" xr:uid="{31F711C7-E589-4966-8F50-A3B2612D765C}"/>
    <cellStyle name="Normal 5 2 3 2 2 6 2 4" xfId="21269" xr:uid="{C8301023-4C53-4C65-A786-A3D7BB9F7437}"/>
    <cellStyle name="Normal 5 2 3 2 2 6 3" xfId="6451" xr:uid="{00000000-0005-0000-0000-000059180000}"/>
    <cellStyle name="Normal 5 2 3 2 2 6 3 2" xfId="14901" xr:uid="{F13B47B1-0AD0-48E6-B3EA-D01525DBE10B}"/>
    <cellStyle name="Normal 5 2 3 2 2 6 3 3" xfId="23341" xr:uid="{BE4EC51E-FBC6-4CAF-ADB4-428A54106DD6}"/>
    <cellStyle name="Normal 5 2 3 2 2 6 4" xfId="10683" xr:uid="{5C19A2AB-46F7-47B9-A8F9-CE97A00BF6FB}"/>
    <cellStyle name="Normal 5 2 3 2 2 6 5" xfId="19124" xr:uid="{5582A170-3309-4C79-94C2-1FDFBC5072BF}"/>
    <cellStyle name="Normal 5 2 3 2 2 7" xfId="2581" xr:uid="{00000000-0005-0000-0000-00005A180000}"/>
    <cellStyle name="Normal 5 2 3 2 2 7 2" xfId="6864" xr:uid="{00000000-0005-0000-0000-00005B180000}"/>
    <cellStyle name="Normal 5 2 3 2 2 7 2 2" xfId="15314" xr:uid="{62912CB3-995C-4608-9FBF-54F06FD7417E}"/>
    <cellStyle name="Normal 5 2 3 2 2 7 2 3" xfId="23754" xr:uid="{985CFF34-D044-4203-8586-9191B9DF21E1}"/>
    <cellStyle name="Normal 5 2 3 2 2 7 3" xfId="11096" xr:uid="{9331D2C1-0B40-4C9F-BBE3-3C958315A4CB}"/>
    <cellStyle name="Normal 5 2 3 2 2 7 4" xfId="19537" xr:uid="{6971D379-70EE-40CB-AFC0-0BA223717874}"/>
    <cellStyle name="Normal 5 2 3 2 2 8" xfId="4799" xr:uid="{00000000-0005-0000-0000-00005C180000}"/>
    <cellStyle name="Normal 5 2 3 2 2 8 2" xfId="13249" xr:uid="{41FC91EB-61D6-4287-8ED3-CA0887F001D5}"/>
    <cellStyle name="Normal 5 2 3 2 2 8 3" xfId="21689" xr:uid="{2302F223-162C-4CE8-9DBA-746DB788489D}"/>
    <cellStyle name="Normal 5 2 3 2 2 9" xfId="9031" xr:uid="{42240F85-6B61-4B8C-B5B3-BE98EC68E07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EC455650-8F10-4CCB-AC52-A400821EB68C}"/>
    <cellStyle name="Normal 5 2 3 2 3 2 2 2 3" xfId="24249" xr:uid="{C81A0415-529F-489F-ADE6-BF4B9B8CBD02}"/>
    <cellStyle name="Normal 5 2 3 2 3 2 2 3" xfId="11591" xr:uid="{92D0254D-A0D3-44C0-A55F-F0EEEE4164DE}"/>
    <cellStyle name="Normal 5 2 3 2 3 2 2 4" xfId="20032" xr:uid="{1443004C-B9B8-4DC6-95ED-DC14139CAB98}"/>
    <cellStyle name="Normal 5 2 3 2 3 2 3" xfId="5214" xr:uid="{00000000-0005-0000-0000-000061180000}"/>
    <cellStyle name="Normal 5 2 3 2 3 2 3 2" xfId="13664" xr:uid="{67D8A359-5C33-41DF-A137-9B92E42C5E7E}"/>
    <cellStyle name="Normal 5 2 3 2 3 2 3 3" xfId="22104" xr:uid="{22578EC5-2805-48E1-84DA-95AA34964C27}"/>
    <cellStyle name="Normal 5 2 3 2 3 2 4" xfId="9446" xr:uid="{AD072C77-8251-42D1-B488-960FEC598F42}"/>
    <cellStyle name="Normal 5 2 3 2 3 2 5" xfId="17887" xr:uid="{61AF2950-38A5-41F0-99A2-51D40080DDFB}"/>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793194A1-A1C9-4F6C-AD2F-77CE8872355B}"/>
    <cellStyle name="Normal 5 2 3 2 3 3 2 2 3" xfId="24662" xr:uid="{84CEFE81-3D8D-4ED5-A438-6CC7DCDE249E}"/>
    <cellStyle name="Normal 5 2 3 2 3 3 2 3" xfId="12004" xr:uid="{74CECA0E-439C-467B-BC59-0B276270EDAB}"/>
    <cellStyle name="Normal 5 2 3 2 3 3 2 4" xfId="20445" xr:uid="{05CE6E1B-3404-4A27-AC30-C998DD185DFE}"/>
    <cellStyle name="Normal 5 2 3 2 3 3 3" xfId="5627" xr:uid="{00000000-0005-0000-0000-000065180000}"/>
    <cellStyle name="Normal 5 2 3 2 3 3 3 2" xfId="14077" xr:uid="{FCBCE4D8-2D1D-49A1-ACD0-3C7E32D215C0}"/>
    <cellStyle name="Normal 5 2 3 2 3 3 3 3" xfId="22517" xr:uid="{71423A18-E1EF-4E03-9F7C-C8F3E973270E}"/>
    <cellStyle name="Normal 5 2 3 2 3 3 4" xfId="9859" xr:uid="{1B829A5F-4F0B-45D8-A61A-0954E6F1C3EE}"/>
    <cellStyle name="Normal 5 2 3 2 3 3 5" xfId="18300" xr:uid="{91A95C70-3671-4BE4-ABA9-EDA91155EC47}"/>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5262838C-E30F-46C0-A597-FF15A23C0C82}"/>
    <cellStyle name="Normal 5 2 3 2 3 4 2 2 3" xfId="25075" xr:uid="{F01E6271-E2A8-4D4A-AFED-59E55235C5CE}"/>
    <cellStyle name="Normal 5 2 3 2 3 4 2 3" xfId="12417" xr:uid="{19E3BF5F-BFA0-46FB-A349-C24A42FCC109}"/>
    <cellStyle name="Normal 5 2 3 2 3 4 2 4" xfId="20858" xr:uid="{8890B90C-C8B0-4E5C-8BDB-898A4AE3C2BF}"/>
    <cellStyle name="Normal 5 2 3 2 3 4 3" xfId="6040" xr:uid="{00000000-0005-0000-0000-000069180000}"/>
    <cellStyle name="Normal 5 2 3 2 3 4 3 2" xfId="14490" xr:uid="{F7B0D8CB-D57E-4945-B3FA-433DAB220204}"/>
    <cellStyle name="Normal 5 2 3 2 3 4 3 3" xfId="22930" xr:uid="{52B1FE7B-5192-4393-BBC4-432D70A1946D}"/>
    <cellStyle name="Normal 5 2 3 2 3 4 4" xfId="10272" xr:uid="{C7D89871-422D-41D4-83D6-3B23FE8C9956}"/>
    <cellStyle name="Normal 5 2 3 2 3 4 5" xfId="18713" xr:uid="{C1D24832-1030-47A2-B2F4-40AD343C3446}"/>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6B7101A2-3572-48E4-AA61-1A31BC5DB13C}"/>
    <cellStyle name="Normal 5 2 3 2 3 5 2 2 3" xfId="25488" xr:uid="{4BCADB0D-2893-4E6B-947A-9D0772C03604}"/>
    <cellStyle name="Normal 5 2 3 2 3 5 2 3" xfId="12830" xr:uid="{86067EC6-DB3A-4133-A477-6D001FD5EC7C}"/>
    <cellStyle name="Normal 5 2 3 2 3 5 2 4" xfId="21271" xr:uid="{A13E67AA-0C15-4A73-95A5-54F17BFECA19}"/>
    <cellStyle name="Normal 5 2 3 2 3 5 3" xfId="6453" xr:uid="{00000000-0005-0000-0000-00006D180000}"/>
    <cellStyle name="Normal 5 2 3 2 3 5 3 2" xfId="14903" xr:uid="{F2E0F9F4-1EB5-4819-B099-45DF338866C4}"/>
    <cellStyle name="Normal 5 2 3 2 3 5 3 3" xfId="23343" xr:uid="{13A45871-A792-47B3-A46D-ED3139B8C32A}"/>
    <cellStyle name="Normal 5 2 3 2 3 5 4" xfId="10685" xr:uid="{B9D160F4-BB0C-436E-8EA4-67ED8FF18703}"/>
    <cellStyle name="Normal 5 2 3 2 3 5 5" xfId="19126" xr:uid="{F1B777A0-C4D8-4F66-947B-84C4CE579242}"/>
    <cellStyle name="Normal 5 2 3 2 3 6" xfId="2583" xr:uid="{00000000-0005-0000-0000-00006E180000}"/>
    <cellStyle name="Normal 5 2 3 2 3 6 2" xfId="6866" xr:uid="{00000000-0005-0000-0000-00006F180000}"/>
    <cellStyle name="Normal 5 2 3 2 3 6 2 2" xfId="15316" xr:uid="{FAA1E19F-A582-4C1E-A0C6-330EB5AF5577}"/>
    <cellStyle name="Normal 5 2 3 2 3 6 2 3" xfId="23756" xr:uid="{0C6D71D1-3D0F-4E24-ACB7-7226E1936BC7}"/>
    <cellStyle name="Normal 5 2 3 2 3 6 3" xfId="11098" xr:uid="{E8D20803-B883-4F6E-9E07-C8A04C425E2A}"/>
    <cellStyle name="Normal 5 2 3 2 3 6 4" xfId="19539" xr:uid="{22E587D8-EA4E-4F1C-9F95-41F5DE89061F}"/>
    <cellStyle name="Normal 5 2 3 2 3 7" xfId="4801" xr:uid="{00000000-0005-0000-0000-000070180000}"/>
    <cellStyle name="Normal 5 2 3 2 3 7 2" xfId="13251" xr:uid="{92ED4F3C-072F-491A-BD86-C9605B57BCEF}"/>
    <cellStyle name="Normal 5 2 3 2 3 7 3" xfId="21691" xr:uid="{41EE345C-0865-4D75-97E7-B5A6B5D6A5D0}"/>
    <cellStyle name="Normal 5 2 3 2 3 8" xfId="9033" xr:uid="{085F7D27-89F3-4C9F-A1DF-FACE9533CBBE}"/>
    <cellStyle name="Normal 5 2 3 2 3 9" xfId="17474" xr:uid="{C918807E-C955-4AD0-AC4D-88E037171A3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F622ED30-9BED-4774-BC45-B5274B8A6ED9}"/>
    <cellStyle name="Normal 5 2 3 2 4 2 2 3" xfId="24246" xr:uid="{0198B950-603B-4D9E-9069-F91922C47E59}"/>
    <cellStyle name="Normal 5 2 3 2 4 2 3" xfId="11588" xr:uid="{E1947DC5-08AD-4029-823D-76EB199BA761}"/>
    <cellStyle name="Normal 5 2 3 2 4 2 4" xfId="20029" xr:uid="{D84AC781-1B45-453F-A33D-8E855986ADDA}"/>
    <cellStyle name="Normal 5 2 3 2 4 3" xfId="5211" xr:uid="{00000000-0005-0000-0000-000074180000}"/>
    <cellStyle name="Normal 5 2 3 2 4 3 2" xfId="13661" xr:uid="{7AEBEAB6-63B6-4594-9FE9-2DC65EEAFE99}"/>
    <cellStyle name="Normal 5 2 3 2 4 3 3" xfId="22101" xr:uid="{AA00B628-DE0F-4634-B7FA-B7619D7F7BDD}"/>
    <cellStyle name="Normal 5 2 3 2 4 4" xfId="9443" xr:uid="{CD59CE1A-7F5B-4335-A6A6-6545C629F94B}"/>
    <cellStyle name="Normal 5 2 3 2 4 5" xfId="17884" xr:uid="{71DDD448-D407-4411-B730-5F8F955DF75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85CAA800-07EF-45DD-BA41-29546A0B9063}"/>
    <cellStyle name="Normal 5 2 3 2 5 2 2 3" xfId="24659" xr:uid="{10C583AA-E62F-409E-94D8-A82535139E9A}"/>
    <cellStyle name="Normal 5 2 3 2 5 2 3" xfId="12001" xr:uid="{AC22540B-76D8-4126-86AB-30EC2C2CBE76}"/>
    <cellStyle name="Normal 5 2 3 2 5 2 4" xfId="20442" xr:uid="{E4C47910-650D-4CCD-B765-55089F005D4A}"/>
    <cellStyle name="Normal 5 2 3 2 5 3" xfId="5624" xr:uid="{00000000-0005-0000-0000-000078180000}"/>
    <cellStyle name="Normal 5 2 3 2 5 3 2" xfId="14074" xr:uid="{766866C5-5550-48A0-B5F6-BFE7C3BCE077}"/>
    <cellStyle name="Normal 5 2 3 2 5 3 3" xfId="22514" xr:uid="{918AB059-49B1-4228-80B3-1659EACDFC05}"/>
    <cellStyle name="Normal 5 2 3 2 5 4" xfId="9856" xr:uid="{705F7F4A-1A49-4F48-878C-F093F09A97AF}"/>
    <cellStyle name="Normal 5 2 3 2 5 5" xfId="18297" xr:uid="{521F2F5E-335D-4B32-8C38-76CD3394675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F2038FBA-2626-4986-A407-AF59AA0B6074}"/>
    <cellStyle name="Normal 5 2 3 2 6 2 2 3" xfId="25072" xr:uid="{97259D27-7300-4222-8DB8-04E176CE65D7}"/>
    <cellStyle name="Normal 5 2 3 2 6 2 3" xfId="12414" xr:uid="{C8656C4D-56F4-4B95-971A-CB124BC2204E}"/>
    <cellStyle name="Normal 5 2 3 2 6 2 4" xfId="20855" xr:uid="{5E9985B9-B58A-4E29-8B90-5AAA9F6D78C1}"/>
    <cellStyle name="Normal 5 2 3 2 6 3" xfId="6037" xr:uid="{00000000-0005-0000-0000-00007C180000}"/>
    <cellStyle name="Normal 5 2 3 2 6 3 2" xfId="14487" xr:uid="{1E026490-DB14-4E3F-9202-0179CAE6B862}"/>
    <cellStyle name="Normal 5 2 3 2 6 3 3" xfId="22927" xr:uid="{97BAF7E0-930E-4DB1-A109-47FBDDE88D4C}"/>
    <cellStyle name="Normal 5 2 3 2 6 4" xfId="10269" xr:uid="{E5EE7E18-3E39-4178-9209-A1A6FA70AF1D}"/>
    <cellStyle name="Normal 5 2 3 2 6 5" xfId="18710" xr:uid="{F78D36FF-DDB4-456D-858E-4B45D9012F3E}"/>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A3A04376-7B57-436B-9ECB-C89398AFE9D8}"/>
    <cellStyle name="Normal 5 2 3 2 7 2 2 3" xfId="25485" xr:uid="{6769D47C-97E3-4DCC-9CF6-C84B30240048}"/>
    <cellStyle name="Normal 5 2 3 2 7 2 3" xfId="12827" xr:uid="{C4819C61-5F32-4465-B775-5E1CFF2C4C41}"/>
    <cellStyle name="Normal 5 2 3 2 7 2 4" xfId="21268" xr:uid="{543A2EC2-0312-4603-9115-59D9318273FC}"/>
    <cellStyle name="Normal 5 2 3 2 7 3" xfId="6450" xr:uid="{00000000-0005-0000-0000-000080180000}"/>
    <cellStyle name="Normal 5 2 3 2 7 3 2" xfId="14900" xr:uid="{761B4030-50A3-4F66-B4B4-8B6A048A1631}"/>
    <cellStyle name="Normal 5 2 3 2 7 3 3" xfId="23340" xr:uid="{40D21FCE-9EAD-4816-97A8-008A91D94600}"/>
    <cellStyle name="Normal 5 2 3 2 7 4" xfId="10682" xr:uid="{0308714D-7DC8-4DAC-AFEB-34723B418E5F}"/>
    <cellStyle name="Normal 5 2 3 2 7 5" xfId="19123" xr:uid="{8ACB1A2D-041B-4FB5-B5A0-FC04BA0E0F7F}"/>
    <cellStyle name="Normal 5 2 3 2 8" xfId="2580" xr:uid="{00000000-0005-0000-0000-000081180000}"/>
    <cellStyle name="Normal 5 2 3 2 8 2" xfId="6863" xr:uid="{00000000-0005-0000-0000-000082180000}"/>
    <cellStyle name="Normal 5 2 3 2 8 2 2" xfId="15313" xr:uid="{86ECB59E-5375-49A7-B18F-7372E6ADCC35}"/>
    <cellStyle name="Normal 5 2 3 2 8 2 3" xfId="23753" xr:uid="{217F52F3-02C7-4302-BF89-B2D70D84A966}"/>
    <cellStyle name="Normal 5 2 3 2 8 3" xfId="11095" xr:uid="{BA3E4FDB-337B-485A-BDBC-E7B90F02C683}"/>
    <cellStyle name="Normal 5 2 3 2 8 4" xfId="19536" xr:uid="{E6E4CDDE-19C2-4EAD-9AA4-D9006D4E5E31}"/>
    <cellStyle name="Normal 5 2 3 2 9" xfId="4798" xr:uid="{00000000-0005-0000-0000-000083180000}"/>
    <cellStyle name="Normal 5 2 3 2 9 2" xfId="13248" xr:uid="{FA06C6C6-CD5C-48B8-B915-34AB70EB4566}"/>
    <cellStyle name="Normal 5 2 3 2 9 3" xfId="21688" xr:uid="{1762A1A0-1FED-4F6F-AA6F-8352CFC2D8D0}"/>
    <cellStyle name="Normal 5 2 3 3" xfId="429" xr:uid="{00000000-0005-0000-0000-000084180000}"/>
    <cellStyle name="Normal 5 2 3 3 10" xfId="17475" xr:uid="{886B9F7B-D87B-4311-AB31-C214983608EE}"/>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CB897572-1114-4853-A30C-2D9218D124F2}"/>
    <cellStyle name="Normal 5 2 3 3 2 2 2 2 3" xfId="24251" xr:uid="{C60597B1-7B55-4938-9EC7-52985C9B0E78}"/>
    <cellStyle name="Normal 5 2 3 3 2 2 2 3" xfId="11593" xr:uid="{2D712FE8-3558-49B5-9A69-A0839A9CD0ED}"/>
    <cellStyle name="Normal 5 2 3 3 2 2 2 4" xfId="20034" xr:uid="{DCA96F3A-10A7-41B6-997E-D36F7A2C29CA}"/>
    <cellStyle name="Normal 5 2 3 3 2 2 3" xfId="5216" xr:uid="{00000000-0005-0000-0000-000089180000}"/>
    <cellStyle name="Normal 5 2 3 3 2 2 3 2" xfId="13666" xr:uid="{D408CDDC-1B46-426C-843C-15249D5F83DA}"/>
    <cellStyle name="Normal 5 2 3 3 2 2 3 3" xfId="22106" xr:uid="{CA60507F-1616-495E-A838-F4CB8E130F6A}"/>
    <cellStyle name="Normal 5 2 3 3 2 2 4" xfId="9448" xr:uid="{1E72637E-F7D1-4470-9A0B-2E255DBB319B}"/>
    <cellStyle name="Normal 5 2 3 3 2 2 5" xfId="17889" xr:uid="{C5B1FDA0-F56A-4B25-83A7-EE6181820772}"/>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6194AC85-40FA-4498-AB61-53C661854CF0}"/>
    <cellStyle name="Normal 5 2 3 3 2 3 2 2 3" xfId="24664" xr:uid="{A6E4E65A-94AE-48A7-96E3-9C4008C0626B}"/>
    <cellStyle name="Normal 5 2 3 3 2 3 2 3" xfId="12006" xr:uid="{6BEB4946-D86F-4FF7-A4B2-4F7D7891D796}"/>
    <cellStyle name="Normal 5 2 3 3 2 3 2 4" xfId="20447" xr:uid="{40A26495-A390-4AFA-B14C-5C92E98B5BAD}"/>
    <cellStyle name="Normal 5 2 3 3 2 3 3" xfId="5629" xr:uid="{00000000-0005-0000-0000-00008D180000}"/>
    <cellStyle name="Normal 5 2 3 3 2 3 3 2" xfId="14079" xr:uid="{CB2783CE-D011-4589-A0D2-A47C38F95791}"/>
    <cellStyle name="Normal 5 2 3 3 2 3 3 3" xfId="22519" xr:uid="{3CE18D60-F36A-4F21-8108-21942EBD7950}"/>
    <cellStyle name="Normal 5 2 3 3 2 3 4" xfId="9861" xr:uid="{1395EFBA-5816-4799-BA4A-FEC897EED738}"/>
    <cellStyle name="Normal 5 2 3 3 2 3 5" xfId="18302" xr:uid="{925ED407-023B-40D5-B5FB-6885C657C07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35D862B9-910B-4FB4-895C-DD1D7A4DAA3B}"/>
    <cellStyle name="Normal 5 2 3 3 2 4 2 2 3" xfId="25077" xr:uid="{81B27A56-9C59-4516-AB21-8AB621EC30B7}"/>
    <cellStyle name="Normal 5 2 3 3 2 4 2 3" xfId="12419" xr:uid="{3EB6FFBB-5D9E-40FB-85FF-726D61D053BF}"/>
    <cellStyle name="Normal 5 2 3 3 2 4 2 4" xfId="20860" xr:uid="{F85DF9A1-DEFE-4BB8-A42D-B2966F12F4F1}"/>
    <cellStyle name="Normal 5 2 3 3 2 4 3" xfId="6042" xr:uid="{00000000-0005-0000-0000-000091180000}"/>
    <cellStyle name="Normal 5 2 3 3 2 4 3 2" xfId="14492" xr:uid="{0DB1D45C-AFCA-4EB1-9E93-B5F24A8D9921}"/>
    <cellStyle name="Normal 5 2 3 3 2 4 3 3" xfId="22932" xr:uid="{D54F815B-E8F6-472F-AB2A-8162D9ED0952}"/>
    <cellStyle name="Normal 5 2 3 3 2 4 4" xfId="10274" xr:uid="{D597BE48-B189-407F-A040-4273E2ECF3EA}"/>
    <cellStyle name="Normal 5 2 3 3 2 4 5" xfId="18715" xr:uid="{BCC33399-D06A-4A56-AFC2-5ACDA1E341FF}"/>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A3FF2B06-A98B-44CB-8966-98DCE24D5680}"/>
    <cellStyle name="Normal 5 2 3 3 2 5 2 2 3" xfId="25490" xr:uid="{6C95D982-603A-4607-AAA9-C52AF6C10855}"/>
    <cellStyle name="Normal 5 2 3 3 2 5 2 3" xfId="12832" xr:uid="{A867E3BC-0BF5-4B38-A77E-4B5799BE6AE9}"/>
    <cellStyle name="Normal 5 2 3 3 2 5 2 4" xfId="21273" xr:uid="{2873434F-C0CF-4BA6-B05A-1D40B6900F6E}"/>
    <cellStyle name="Normal 5 2 3 3 2 5 3" xfId="6455" xr:uid="{00000000-0005-0000-0000-000095180000}"/>
    <cellStyle name="Normal 5 2 3 3 2 5 3 2" xfId="14905" xr:uid="{2D644545-49DB-4933-966A-4B86CDCE7F66}"/>
    <cellStyle name="Normal 5 2 3 3 2 5 3 3" xfId="23345" xr:uid="{1F9C3632-30E0-4399-836A-8D93B8AC8B7C}"/>
    <cellStyle name="Normal 5 2 3 3 2 5 4" xfId="10687" xr:uid="{B82ECBAC-14C4-4C06-AC3A-E41418BB6D0B}"/>
    <cellStyle name="Normal 5 2 3 3 2 5 5" xfId="19128" xr:uid="{9DD4FB07-179E-46C6-B5FF-04241D3F374A}"/>
    <cellStyle name="Normal 5 2 3 3 2 6" xfId="2585" xr:uid="{00000000-0005-0000-0000-000096180000}"/>
    <cellStyle name="Normal 5 2 3 3 2 6 2" xfId="6868" xr:uid="{00000000-0005-0000-0000-000097180000}"/>
    <cellStyle name="Normal 5 2 3 3 2 6 2 2" xfId="15318" xr:uid="{A88C0B0B-AEE3-4599-B1F1-629A079AC5F3}"/>
    <cellStyle name="Normal 5 2 3 3 2 6 2 3" xfId="23758" xr:uid="{66BEC498-E74C-4974-91CB-03A1A618A3BA}"/>
    <cellStyle name="Normal 5 2 3 3 2 6 3" xfId="11100" xr:uid="{46A451C4-5AE5-4CDF-9865-41B58A8153B5}"/>
    <cellStyle name="Normal 5 2 3 3 2 6 4" xfId="19541" xr:uid="{104DEABD-4CFE-46B3-BF01-11DFE7095FFA}"/>
    <cellStyle name="Normal 5 2 3 3 2 7" xfId="4803" xr:uid="{00000000-0005-0000-0000-000098180000}"/>
    <cellStyle name="Normal 5 2 3 3 2 7 2" xfId="13253" xr:uid="{D3B90040-C76E-496C-8194-33B51943FBCF}"/>
    <cellStyle name="Normal 5 2 3 3 2 7 3" xfId="21693" xr:uid="{A3FC8920-F8CE-4EC6-8896-05FF4708A340}"/>
    <cellStyle name="Normal 5 2 3 3 2 8" xfId="9035" xr:uid="{C72F96FC-DA24-4BB4-A8B8-0402600F0027}"/>
    <cellStyle name="Normal 5 2 3 3 2 9" xfId="17476" xr:uid="{DCEA9D75-07EE-4DAF-A43A-A7343B7323D2}"/>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C228C1E-BEFA-4720-9FFF-6BD8886A4E05}"/>
    <cellStyle name="Normal 5 2 3 3 3 2 2 3" xfId="24250" xr:uid="{47D6DE05-A877-4C2E-9885-92DBDC0952D2}"/>
    <cellStyle name="Normal 5 2 3 3 3 2 3" xfId="11592" xr:uid="{92B9B8D8-E2E3-4D0B-8989-1454FFC615B0}"/>
    <cellStyle name="Normal 5 2 3 3 3 2 4" xfId="20033" xr:uid="{8FFFDDD1-A923-46E9-9B7B-E24300E93CFC}"/>
    <cellStyle name="Normal 5 2 3 3 3 3" xfId="5215" xr:uid="{00000000-0005-0000-0000-00009C180000}"/>
    <cellStyle name="Normal 5 2 3 3 3 3 2" xfId="13665" xr:uid="{C6E8051B-A54B-418E-8EE5-6288F4B77281}"/>
    <cellStyle name="Normal 5 2 3 3 3 3 3" xfId="22105" xr:uid="{7367359D-C5EF-4CBC-A740-A1367A8A08E8}"/>
    <cellStyle name="Normal 5 2 3 3 3 4" xfId="9447" xr:uid="{D6CC4151-FF04-4B17-A66E-452BFAB23C80}"/>
    <cellStyle name="Normal 5 2 3 3 3 5" xfId="17888" xr:uid="{4110E990-8278-472F-83BB-E4170C407BDF}"/>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C5EB016D-0B44-4688-ABAD-8F7E0A381E3A}"/>
    <cellStyle name="Normal 5 2 3 3 4 2 2 3" xfId="24663" xr:uid="{59142CC8-5AA2-4E73-824F-F6265F19B860}"/>
    <cellStyle name="Normal 5 2 3 3 4 2 3" xfId="12005" xr:uid="{509B460F-F8E4-436E-A7CC-CA6BF06EB575}"/>
    <cellStyle name="Normal 5 2 3 3 4 2 4" xfId="20446" xr:uid="{ED917F45-0A41-45CD-B795-111B8B44A2AF}"/>
    <cellStyle name="Normal 5 2 3 3 4 3" xfId="5628" xr:uid="{00000000-0005-0000-0000-0000A0180000}"/>
    <cellStyle name="Normal 5 2 3 3 4 3 2" xfId="14078" xr:uid="{31C0ECFF-989E-40B6-B2AF-D57D3115D061}"/>
    <cellStyle name="Normal 5 2 3 3 4 3 3" xfId="22518" xr:uid="{61157A3B-C33F-4497-BED2-40A591767C37}"/>
    <cellStyle name="Normal 5 2 3 3 4 4" xfId="9860" xr:uid="{CCED32F8-192D-44B0-A311-D478FA17EDD0}"/>
    <cellStyle name="Normal 5 2 3 3 4 5" xfId="18301" xr:uid="{88F002AB-BA10-44B1-90B3-68C004927746}"/>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F45E529F-1E99-4636-9497-B163200DC5E0}"/>
    <cellStyle name="Normal 5 2 3 3 5 2 2 3" xfId="25076" xr:uid="{61214B8D-C329-4D11-AA80-EA9063C04B9A}"/>
    <cellStyle name="Normal 5 2 3 3 5 2 3" xfId="12418" xr:uid="{2E031FF4-FF6F-41CF-8D7B-6AFC6B3CD672}"/>
    <cellStyle name="Normal 5 2 3 3 5 2 4" xfId="20859" xr:uid="{BF57753F-C4D5-46C4-B88B-94DACD8A17CA}"/>
    <cellStyle name="Normal 5 2 3 3 5 3" xfId="6041" xr:uid="{00000000-0005-0000-0000-0000A4180000}"/>
    <cellStyle name="Normal 5 2 3 3 5 3 2" xfId="14491" xr:uid="{23908850-93BB-426B-892B-9E1E9F5FAD57}"/>
    <cellStyle name="Normal 5 2 3 3 5 3 3" xfId="22931" xr:uid="{2861E5C0-0586-4DFA-BBF4-0D486D0066CA}"/>
    <cellStyle name="Normal 5 2 3 3 5 4" xfId="10273" xr:uid="{BB6ADFD5-930B-449A-A0A8-04DE722F4AAF}"/>
    <cellStyle name="Normal 5 2 3 3 5 5" xfId="18714" xr:uid="{562F2E68-F192-4E28-A18A-A1784EAFF4C0}"/>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0654A346-5AF0-4BF6-841D-E60224220341}"/>
    <cellStyle name="Normal 5 2 3 3 6 2 2 3" xfId="25489" xr:uid="{FE308815-BD06-4772-826E-316C44FF16F2}"/>
    <cellStyle name="Normal 5 2 3 3 6 2 3" xfId="12831" xr:uid="{473490E3-BD48-4E4C-8775-F816E910CC65}"/>
    <cellStyle name="Normal 5 2 3 3 6 2 4" xfId="21272" xr:uid="{39D8F310-A517-4605-B99E-3A59A5FBD7AC}"/>
    <cellStyle name="Normal 5 2 3 3 6 3" xfId="6454" xr:uid="{00000000-0005-0000-0000-0000A8180000}"/>
    <cellStyle name="Normal 5 2 3 3 6 3 2" xfId="14904" xr:uid="{6BF49C61-7046-4DA6-8039-ABBC3874F5B9}"/>
    <cellStyle name="Normal 5 2 3 3 6 3 3" xfId="23344" xr:uid="{EF7E516F-709C-4B0A-B720-17AEFBCDB327}"/>
    <cellStyle name="Normal 5 2 3 3 6 4" xfId="10686" xr:uid="{39978306-0F79-4ED2-8D8A-1CCE6D1FA3EE}"/>
    <cellStyle name="Normal 5 2 3 3 6 5" xfId="19127" xr:uid="{36F8501E-A798-4BF6-A915-A97D07BC3FCD}"/>
    <cellStyle name="Normal 5 2 3 3 7" xfId="2584" xr:uid="{00000000-0005-0000-0000-0000A9180000}"/>
    <cellStyle name="Normal 5 2 3 3 7 2" xfId="6867" xr:uid="{00000000-0005-0000-0000-0000AA180000}"/>
    <cellStyle name="Normal 5 2 3 3 7 2 2" xfId="15317" xr:uid="{96634FAA-DCFE-4A6B-8995-B4B4C8AC9138}"/>
    <cellStyle name="Normal 5 2 3 3 7 2 3" xfId="23757" xr:uid="{18404EC4-40C9-44CA-A883-BB540323B665}"/>
    <cellStyle name="Normal 5 2 3 3 7 3" xfId="11099" xr:uid="{94E24A48-2640-4019-B3F7-BFC7378C902F}"/>
    <cellStyle name="Normal 5 2 3 3 7 4" xfId="19540" xr:uid="{14955D62-C0E6-4D46-B525-7A542FFE73D8}"/>
    <cellStyle name="Normal 5 2 3 3 8" xfId="4802" xr:uid="{00000000-0005-0000-0000-0000AB180000}"/>
    <cellStyle name="Normal 5 2 3 3 8 2" xfId="13252" xr:uid="{8FBF04E1-3FD3-4E34-A057-DDB646F2E43F}"/>
    <cellStyle name="Normal 5 2 3 3 8 3" xfId="21692" xr:uid="{7577C1B7-90DB-40D1-9313-1208772F7933}"/>
    <cellStyle name="Normal 5 2 3 3 9" xfId="9034" xr:uid="{FF284894-1A2D-4118-961A-0A649994931C}"/>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E822CE93-DFBF-4922-9171-B9024670B56F}"/>
    <cellStyle name="Normal 5 2 3 4 2 2 2 3" xfId="24252" xr:uid="{176E6E8A-A1CF-4EE4-859D-50AED6ADB60F}"/>
    <cellStyle name="Normal 5 2 3 4 2 2 3" xfId="11594" xr:uid="{344906AB-D619-4B04-A791-8FF1CF3526FD}"/>
    <cellStyle name="Normal 5 2 3 4 2 2 4" xfId="20035" xr:uid="{8F0E4811-99B6-4189-BE99-4FF214B97587}"/>
    <cellStyle name="Normal 5 2 3 4 2 3" xfId="5217" xr:uid="{00000000-0005-0000-0000-0000B0180000}"/>
    <cellStyle name="Normal 5 2 3 4 2 3 2" xfId="13667" xr:uid="{9BA86AF8-F978-4EF5-B135-4F6E37A4832D}"/>
    <cellStyle name="Normal 5 2 3 4 2 3 3" xfId="22107" xr:uid="{905949AC-8694-4056-BCBE-646B313B3CCA}"/>
    <cellStyle name="Normal 5 2 3 4 2 4" xfId="9449" xr:uid="{96B2E596-FC75-4500-8AFB-E3E614D72088}"/>
    <cellStyle name="Normal 5 2 3 4 2 5" xfId="17890" xr:uid="{CDADB5C1-E695-4F85-B7EC-C0B113F2E243}"/>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6AECC267-271B-4459-817F-D03614859D07}"/>
    <cellStyle name="Normal 5 2 3 4 3 2 2 3" xfId="24665" xr:uid="{9C085342-ABA3-442A-A414-9DA041E0BF45}"/>
    <cellStyle name="Normal 5 2 3 4 3 2 3" xfId="12007" xr:uid="{69ED5C19-23EA-4CB0-930E-A25147645B64}"/>
    <cellStyle name="Normal 5 2 3 4 3 2 4" xfId="20448" xr:uid="{734B8D42-0D86-4B2B-A45F-B37979CC2913}"/>
    <cellStyle name="Normal 5 2 3 4 3 3" xfId="5630" xr:uid="{00000000-0005-0000-0000-0000B4180000}"/>
    <cellStyle name="Normal 5 2 3 4 3 3 2" xfId="14080" xr:uid="{6CE15D48-269C-4095-9020-0E38C9F1F067}"/>
    <cellStyle name="Normal 5 2 3 4 3 3 3" xfId="22520" xr:uid="{B82A5B3D-34C7-4D45-B918-F24B70270680}"/>
    <cellStyle name="Normal 5 2 3 4 3 4" xfId="9862" xr:uid="{35DC7364-FEF4-4F5A-9693-A4BA273B6F85}"/>
    <cellStyle name="Normal 5 2 3 4 3 5" xfId="18303" xr:uid="{3ECE0E2D-D03F-464D-856B-C84B290A172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644631AE-A10B-4F59-8214-A758543430E0}"/>
    <cellStyle name="Normal 5 2 3 4 4 2 2 3" xfId="25078" xr:uid="{672B17C4-7498-40E5-AE3A-A3C9150B9CC9}"/>
    <cellStyle name="Normal 5 2 3 4 4 2 3" xfId="12420" xr:uid="{02821D42-1B19-43BF-B24D-5CFC0A3AF145}"/>
    <cellStyle name="Normal 5 2 3 4 4 2 4" xfId="20861" xr:uid="{2D9509AA-FD6D-4A77-B5B7-D76E4B76B989}"/>
    <cellStyle name="Normal 5 2 3 4 4 3" xfId="6043" xr:uid="{00000000-0005-0000-0000-0000B8180000}"/>
    <cellStyle name="Normal 5 2 3 4 4 3 2" xfId="14493" xr:uid="{676CDFE1-057A-4DF5-95F9-05D227845C28}"/>
    <cellStyle name="Normal 5 2 3 4 4 3 3" xfId="22933" xr:uid="{A1A5516E-BA86-4633-A639-B758664B5D55}"/>
    <cellStyle name="Normal 5 2 3 4 4 4" xfId="10275" xr:uid="{5641C453-E3BD-42F3-97AA-22D400837299}"/>
    <cellStyle name="Normal 5 2 3 4 4 5" xfId="18716" xr:uid="{8315831F-3561-4BE9-9967-CCF9C5BAF0B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8C89B3A5-5595-4B05-8819-92DE7BF44E69}"/>
    <cellStyle name="Normal 5 2 3 4 5 2 2 3" xfId="25491" xr:uid="{88DDBD22-D711-42C8-969B-B70AB877785D}"/>
    <cellStyle name="Normal 5 2 3 4 5 2 3" xfId="12833" xr:uid="{7EF4FBB8-EAAA-4208-81A6-A5B9B4F7C4D0}"/>
    <cellStyle name="Normal 5 2 3 4 5 2 4" xfId="21274" xr:uid="{486B1A22-DC0F-4AC8-AD08-1007CB712448}"/>
    <cellStyle name="Normal 5 2 3 4 5 3" xfId="6456" xr:uid="{00000000-0005-0000-0000-0000BC180000}"/>
    <cellStyle name="Normal 5 2 3 4 5 3 2" xfId="14906" xr:uid="{00A60EEF-4427-4D70-85A3-3C30FDEE1137}"/>
    <cellStyle name="Normal 5 2 3 4 5 3 3" xfId="23346" xr:uid="{45CB7099-4F0D-423F-A17A-2BA9C666C434}"/>
    <cellStyle name="Normal 5 2 3 4 5 4" xfId="10688" xr:uid="{58D92073-5BCA-4ABD-BA34-5349509A3126}"/>
    <cellStyle name="Normal 5 2 3 4 5 5" xfId="19129" xr:uid="{C77171E9-D894-4D5A-852F-ED5C9169AB73}"/>
    <cellStyle name="Normal 5 2 3 4 6" xfId="2586" xr:uid="{00000000-0005-0000-0000-0000BD180000}"/>
    <cellStyle name="Normal 5 2 3 4 6 2" xfId="6869" xr:uid="{00000000-0005-0000-0000-0000BE180000}"/>
    <cellStyle name="Normal 5 2 3 4 6 2 2" xfId="15319" xr:uid="{982E3D08-6C7D-4B27-AB3E-D1C02EE60F93}"/>
    <cellStyle name="Normal 5 2 3 4 6 2 3" xfId="23759" xr:uid="{4F595B34-8C08-4677-B507-378613D29B76}"/>
    <cellStyle name="Normal 5 2 3 4 6 3" xfId="11101" xr:uid="{4382B4D2-B113-4E02-B6AA-1366CE9BD92A}"/>
    <cellStyle name="Normal 5 2 3 4 6 4" xfId="19542" xr:uid="{A14C9C97-598D-4069-96D7-6425F7E5B357}"/>
    <cellStyle name="Normal 5 2 3 4 7" xfId="4804" xr:uid="{00000000-0005-0000-0000-0000BF180000}"/>
    <cellStyle name="Normal 5 2 3 4 7 2" xfId="13254" xr:uid="{76FA91FB-96DC-4F7E-BECB-FA8BBC8010EA}"/>
    <cellStyle name="Normal 5 2 3 4 7 3" xfId="21694" xr:uid="{83C6B45A-6BDD-490D-92EF-182D28CEC7B0}"/>
    <cellStyle name="Normal 5 2 3 4 8" xfId="9036" xr:uid="{BA4C4309-AB90-44D7-8218-96CC596F0E71}"/>
    <cellStyle name="Normal 5 2 3 4 9" xfId="17477" xr:uid="{EF6AD21D-038C-4AA4-B9E8-6BB3A40D5DB3}"/>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65187230-B99E-46D0-ABD2-4749070F5B86}"/>
    <cellStyle name="Normal 5 2 3 5 2 2 3" xfId="24245" xr:uid="{7EA25B6A-4FEB-47AB-955C-CB2D620E0978}"/>
    <cellStyle name="Normal 5 2 3 5 2 3" xfId="11587" xr:uid="{A66FD30C-8D12-44E5-B22E-B4796C02938E}"/>
    <cellStyle name="Normal 5 2 3 5 2 4" xfId="20028" xr:uid="{746BD590-DFD4-4131-9C62-413FCA9D797C}"/>
    <cellStyle name="Normal 5 2 3 5 3" xfId="5210" xr:uid="{00000000-0005-0000-0000-0000C3180000}"/>
    <cellStyle name="Normal 5 2 3 5 3 2" xfId="13660" xr:uid="{83C92C1E-152F-471F-8A9E-ECCF158A43D1}"/>
    <cellStyle name="Normal 5 2 3 5 3 3" xfId="22100" xr:uid="{69876FC4-682A-4BD9-9A2C-BA1ED6B0A4AB}"/>
    <cellStyle name="Normal 5 2 3 5 4" xfId="9442" xr:uid="{695B9F15-016F-4FDE-9B36-4C234DFCE451}"/>
    <cellStyle name="Normal 5 2 3 5 5" xfId="17883" xr:uid="{496CB504-0C25-4C7B-9E67-F3E54DCB60A1}"/>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12409485-1163-458F-862F-1A25BC453130}"/>
    <cellStyle name="Normal 5 2 3 6 2 2 3" xfId="24658" xr:uid="{3CA26541-7EA6-45BC-9F3D-FF45B6C935D6}"/>
    <cellStyle name="Normal 5 2 3 6 2 3" xfId="12000" xr:uid="{EAE175F5-56EE-427E-8392-11FDF07DF104}"/>
    <cellStyle name="Normal 5 2 3 6 2 4" xfId="20441" xr:uid="{BA361E24-0D6D-4977-913A-5352973C963A}"/>
    <cellStyle name="Normal 5 2 3 6 3" xfId="5623" xr:uid="{00000000-0005-0000-0000-0000C7180000}"/>
    <cellStyle name="Normal 5 2 3 6 3 2" xfId="14073" xr:uid="{C90B4504-B268-4D20-9C0E-AA33F36FC902}"/>
    <cellStyle name="Normal 5 2 3 6 3 3" xfId="22513" xr:uid="{6E50F4CA-9B1E-4EFB-9DB1-8FE911EC1612}"/>
    <cellStyle name="Normal 5 2 3 6 4" xfId="9855" xr:uid="{CE11539A-CD32-416D-8175-A1E92EC7AF4D}"/>
    <cellStyle name="Normal 5 2 3 6 5" xfId="18296" xr:uid="{F0A584AA-C6EA-4122-ACF4-CAA09259C253}"/>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0BB03268-FFA2-4A9E-8C92-2EDAE70399F2}"/>
    <cellStyle name="Normal 5 2 3 7 2 2 3" xfId="25071" xr:uid="{FC6EE2B8-6EE5-40C1-B7D3-86D62B32A6C1}"/>
    <cellStyle name="Normal 5 2 3 7 2 3" xfId="12413" xr:uid="{1B28E55B-6EB2-4E15-9006-C5C05264708B}"/>
    <cellStyle name="Normal 5 2 3 7 2 4" xfId="20854" xr:uid="{9D6E920E-3870-4608-87FB-0BBB67109615}"/>
    <cellStyle name="Normal 5 2 3 7 3" xfId="6036" xr:uid="{00000000-0005-0000-0000-0000CB180000}"/>
    <cellStyle name="Normal 5 2 3 7 3 2" xfId="14486" xr:uid="{2A56CCDD-36E3-4375-BD1A-C3110A63EF41}"/>
    <cellStyle name="Normal 5 2 3 7 3 3" xfId="22926" xr:uid="{0D55DC15-F5CA-47A9-8E1F-6AE2F52AA20A}"/>
    <cellStyle name="Normal 5 2 3 7 4" xfId="10268" xr:uid="{3E20CB97-F50E-43B3-95D1-E55A0D481A56}"/>
    <cellStyle name="Normal 5 2 3 7 5" xfId="18709" xr:uid="{74CA8BBB-01EA-46FC-B315-53FACDDEEBB5}"/>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BE21522D-DAFA-44F4-AE78-ACE65B0BFBD2}"/>
    <cellStyle name="Normal 5 2 3 8 2 2 3" xfId="25484" xr:uid="{867351A5-2C9F-4B1D-B326-5F08C6CA00BB}"/>
    <cellStyle name="Normal 5 2 3 8 2 3" xfId="12826" xr:uid="{E3AC8C4E-4D7C-48D0-B280-6ED69EDB9439}"/>
    <cellStyle name="Normal 5 2 3 8 2 4" xfId="21267" xr:uid="{94B1AB41-9249-4CC9-86D4-BCFF48E1F47A}"/>
    <cellStyle name="Normal 5 2 3 8 3" xfId="6449" xr:uid="{00000000-0005-0000-0000-0000CF180000}"/>
    <cellStyle name="Normal 5 2 3 8 3 2" xfId="14899" xr:uid="{07B4C5E4-8B77-4AA4-813C-4F99AD43952C}"/>
    <cellStyle name="Normal 5 2 3 8 3 3" xfId="23339" xr:uid="{2D00E529-590A-479F-9476-E4AA54100C04}"/>
    <cellStyle name="Normal 5 2 3 8 4" xfId="10681" xr:uid="{8708D5C3-CC1F-4B2A-99A7-9841187E64B5}"/>
    <cellStyle name="Normal 5 2 3 8 5" xfId="19122" xr:uid="{19594147-7F23-46B1-9A25-32E753980D21}"/>
    <cellStyle name="Normal 5 2 3 9" xfId="2579" xr:uid="{00000000-0005-0000-0000-0000D0180000}"/>
    <cellStyle name="Normal 5 2 3 9 2" xfId="6862" xr:uid="{00000000-0005-0000-0000-0000D1180000}"/>
    <cellStyle name="Normal 5 2 3 9 2 2" xfId="15312" xr:uid="{CEB3146D-3E89-404D-8684-846BFE24E07B}"/>
    <cellStyle name="Normal 5 2 3 9 2 3" xfId="23752" xr:uid="{BB33BA70-A1A1-4F9E-B0CD-46FFABCA96BC}"/>
    <cellStyle name="Normal 5 2 3 9 3" xfId="11094" xr:uid="{4FA4B2F2-520B-49AB-A547-B105E231D26D}"/>
    <cellStyle name="Normal 5 2 3 9 4" xfId="19535" xr:uid="{2FB0BEDE-B370-4C23-A0B5-5AA2DACAC079}"/>
    <cellStyle name="Normal 5 2 4" xfId="432" xr:uid="{00000000-0005-0000-0000-0000D2180000}"/>
    <cellStyle name="Normal 5 2 4 10" xfId="9037" xr:uid="{C6414307-E366-43BE-8DB5-34B475A1C7EA}"/>
    <cellStyle name="Normal 5 2 4 11" xfId="17478" xr:uid="{A02E0230-7927-42FD-811A-44BD567B1341}"/>
    <cellStyle name="Normal 5 2 4 2" xfId="433" xr:uid="{00000000-0005-0000-0000-0000D3180000}"/>
    <cellStyle name="Normal 5 2 4 2 10" xfId="17479" xr:uid="{34C41871-6EDD-42D9-8C5D-D065CCB109E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C7C5A914-8C78-4592-BBFF-3369362907CF}"/>
    <cellStyle name="Normal 5 2 4 2 2 2 2 2 3" xfId="24255" xr:uid="{CBA268A4-FA11-4D1B-8102-7158033D3F96}"/>
    <cellStyle name="Normal 5 2 4 2 2 2 2 3" xfId="11597" xr:uid="{7FCD99D5-336F-441F-AAAC-320B4B41DC70}"/>
    <cellStyle name="Normal 5 2 4 2 2 2 2 4" xfId="20038" xr:uid="{0A5BAF20-F6CC-41D1-9E24-436CE58D7D39}"/>
    <cellStyle name="Normal 5 2 4 2 2 2 3" xfId="5220" xr:uid="{00000000-0005-0000-0000-0000D8180000}"/>
    <cellStyle name="Normal 5 2 4 2 2 2 3 2" xfId="13670" xr:uid="{5CE6DBCB-6349-4549-A86C-B80757E24DDE}"/>
    <cellStyle name="Normal 5 2 4 2 2 2 3 3" xfId="22110" xr:uid="{8ED2FCAC-B787-4AA8-BCA2-49BAE1862225}"/>
    <cellStyle name="Normal 5 2 4 2 2 2 4" xfId="9452" xr:uid="{867540A2-891F-4877-8A74-F65C9643B2E5}"/>
    <cellStyle name="Normal 5 2 4 2 2 2 5" xfId="17893" xr:uid="{8E08B6A7-FA61-4096-9F2C-B7E796DE355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71061E84-620D-429E-9CE8-49DD41A44ECA}"/>
    <cellStyle name="Normal 5 2 4 2 2 3 2 2 3" xfId="24668" xr:uid="{FADF028A-95EC-4C4E-A508-AD50A374D842}"/>
    <cellStyle name="Normal 5 2 4 2 2 3 2 3" xfId="12010" xr:uid="{3B06ACAE-55F6-4D5E-82AA-3D3DB5E3BA3A}"/>
    <cellStyle name="Normal 5 2 4 2 2 3 2 4" xfId="20451" xr:uid="{03736A93-BCA3-4A43-B15E-F8E0B11A2BE6}"/>
    <cellStyle name="Normal 5 2 4 2 2 3 3" xfId="5633" xr:uid="{00000000-0005-0000-0000-0000DC180000}"/>
    <cellStyle name="Normal 5 2 4 2 2 3 3 2" xfId="14083" xr:uid="{53CB6908-5572-4BFB-9A9B-F2144AB9BACA}"/>
    <cellStyle name="Normal 5 2 4 2 2 3 3 3" xfId="22523" xr:uid="{AAD404CA-A28D-4831-833A-13B36D8B0B05}"/>
    <cellStyle name="Normal 5 2 4 2 2 3 4" xfId="9865" xr:uid="{4651C173-6904-491F-8E12-EADB34601E0D}"/>
    <cellStyle name="Normal 5 2 4 2 2 3 5" xfId="18306" xr:uid="{DF4054E6-2978-43EF-A801-0F7FB903AD3F}"/>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99892C42-3F35-4120-B928-4F42CF3E201F}"/>
    <cellStyle name="Normal 5 2 4 2 2 4 2 2 3" xfId="25081" xr:uid="{EB6FF6DA-55B1-4D67-8282-79A964D87778}"/>
    <cellStyle name="Normal 5 2 4 2 2 4 2 3" xfId="12423" xr:uid="{34D15735-410B-40EA-9E77-AA3CF7207CF0}"/>
    <cellStyle name="Normal 5 2 4 2 2 4 2 4" xfId="20864" xr:uid="{8C840B77-264A-4C36-B634-676AE8139B7E}"/>
    <cellStyle name="Normal 5 2 4 2 2 4 3" xfId="6046" xr:uid="{00000000-0005-0000-0000-0000E0180000}"/>
    <cellStyle name="Normal 5 2 4 2 2 4 3 2" xfId="14496" xr:uid="{8815402F-EBA4-49EC-8325-028FAB3D4957}"/>
    <cellStyle name="Normal 5 2 4 2 2 4 3 3" xfId="22936" xr:uid="{EE403290-2E69-4F9E-A8B0-D866AE8ECE38}"/>
    <cellStyle name="Normal 5 2 4 2 2 4 4" xfId="10278" xr:uid="{1037C7E9-155A-4258-94CE-DA9158D08A3F}"/>
    <cellStyle name="Normal 5 2 4 2 2 4 5" xfId="18719" xr:uid="{E497B859-482A-4653-A81F-EE366030F019}"/>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793F30FA-AFCE-4D2F-AF20-E80E9DB75B80}"/>
    <cellStyle name="Normal 5 2 4 2 2 5 2 2 3" xfId="25494" xr:uid="{D2750122-2546-4CD3-AC33-409E0616CC0B}"/>
    <cellStyle name="Normal 5 2 4 2 2 5 2 3" xfId="12836" xr:uid="{A36DD990-D924-4938-B9B6-B79DB2AF5BF3}"/>
    <cellStyle name="Normal 5 2 4 2 2 5 2 4" xfId="21277" xr:uid="{2841E06E-C981-46FD-9F71-07C5A488E7A8}"/>
    <cellStyle name="Normal 5 2 4 2 2 5 3" xfId="6459" xr:uid="{00000000-0005-0000-0000-0000E4180000}"/>
    <cellStyle name="Normal 5 2 4 2 2 5 3 2" xfId="14909" xr:uid="{1C36EF4D-C52E-420A-B9A0-76DE253815FC}"/>
    <cellStyle name="Normal 5 2 4 2 2 5 3 3" xfId="23349" xr:uid="{2E20AE50-98DF-4166-AB5A-FFB9119233D4}"/>
    <cellStyle name="Normal 5 2 4 2 2 5 4" xfId="10691" xr:uid="{95253EE6-77B4-4BBE-BCBB-BB08549E29EA}"/>
    <cellStyle name="Normal 5 2 4 2 2 5 5" xfId="19132" xr:uid="{8222AB51-710C-4EF9-841B-91D081D29937}"/>
    <cellStyle name="Normal 5 2 4 2 2 6" xfId="2589" xr:uid="{00000000-0005-0000-0000-0000E5180000}"/>
    <cellStyle name="Normal 5 2 4 2 2 6 2" xfId="6872" xr:uid="{00000000-0005-0000-0000-0000E6180000}"/>
    <cellStyle name="Normal 5 2 4 2 2 6 2 2" xfId="15322" xr:uid="{27A382BD-3306-45C1-9A8F-66173742D62E}"/>
    <cellStyle name="Normal 5 2 4 2 2 6 2 3" xfId="23762" xr:uid="{E7DBDD9B-08C3-4A83-A3C0-C645155A3AAD}"/>
    <cellStyle name="Normal 5 2 4 2 2 6 3" xfId="11104" xr:uid="{FF0CE926-61CB-47B9-97EF-225B55BA4093}"/>
    <cellStyle name="Normal 5 2 4 2 2 6 4" xfId="19545" xr:uid="{7147AC8A-C954-48EE-8F21-637EB84B9D97}"/>
    <cellStyle name="Normal 5 2 4 2 2 7" xfId="4807" xr:uid="{00000000-0005-0000-0000-0000E7180000}"/>
    <cellStyle name="Normal 5 2 4 2 2 7 2" xfId="13257" xr:uid="{3FEC8952-FEC5-4F76-9F41-A8F92784D879}"/>
    <cellStyle name="Normal 5 2 4 2 2 7 3" xfId="21697" xr:uid="{5C49EB7B-B514-49D0-9B1D-5224A6DAD9A7}"/>
    <cellStyle name="Normal 5 2 4 2 2 8" xfId="9039" xr:uid="{C70E4EB9-9CAB-48D6-820F-07C5CC68C972}"/>
    <cellStyle name="Normal 5 2 4 2 2 9" xfId="17480" xr:uid="{4EB8A40E-F2FB-4463-92BC-D9431473CC97}"/>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3DA716D8-86C9-4628-AB9D-CD9EF6F606EE}"/>
    <cellStyle name="Normal 5 2 4 2 3 2 2 3" xfId="24254" xr:uid="{1C77855E-8503-4BE7-8242-2F98AD750078}"/>
    <cellStyle name="Normal 5 2 4 2 3 2 3" xfId="11596" xr:uid="{8FA0DC85-4F94-4180-A0ED-B89C1A36186B}"/>
    <cellStyle name="Normal 5 2 4 2 3 2 4" xfId="20037" xr:uid="{2896C2D7-D6E9-42A1-ADA2-CB41D458DE06}"/>
    <cellStyle name="Normal 5 2 4 2 3 3" xfId="5219" xr:uid="{00000000-0005-0000-0000-0000EB180000}"/>
    <cellStyle name="Normal 5 2 4 2 3 3 2" xfId="13669" xr:uid="{D2B500B4-344A-44B5-92CC-CF73AE8C0A0D}"/>
    <cellStyle name="Normal 5 2 4 2 3 3 3" xfId="22109" xr:uid="{9E86D209-FB56-4F93-8641-08B6B9BA4E4C}"/>
    <cellStyle name="Normal 5 2 4 2 3 4" xfId="9451" xr:uid="{6172BEF5-E938-4214-A0F0-8B0167C7B45F}"/>
    <cellStyle name="Normal 5 2 4 2 3 5" xfId="17892" xr:uid="{1C27BED3-D62A-4A26-9A57-593702E225A1}"/>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ADDAEB20-79A2-492D-B13A-96A855EE858B}"/>
    <cellStyle name="Normal 5 2 4 2 4 2 2 3" xfId="24667" xr:uid="{2B2B277F-16B3-436B-A9D4-3D5C1338F385}"/>
    <cellStyle name="Normal 5 2 4 2 4 2 3" xfId="12009" xr:uid="{94B1FB62-EEDD-4C66-BBCE-80D11CE3946A}"/>
    <cellStyle name="Normal 5 2 4 2 4 2 4" xfId="20450" xr:uid="{AB869B15-74BD-4380-8B43-771E18108D64}"/>
    <cellStyle name="Normal 5 2 4 2 4 3" xfId="5632" xr:uid="{00000000-0005-0000-0000-0000EF180000}"/>
    <cellStyle name="Normal 5 2 4 2 4 3 2" xfId="14082" xr:uid="{16204146-B15F-456A-9732-A98178141FBC}"/>
    <cellStyle name="Normal 5 2 4 2 4 3 3" xfId="22522" xr:uid="{61BC481F-C0EC-4BB7-AB41-2D1579689269}"/>
    <cellStyle name="Normal 5 2 4 2 4 4" xfId="9864" xr:uid="{D73018D7-5310-48A4-99E8-3BF440AD0EA9}"/>
    <cellStyle name="Normal 5 2 4 2 4 5" xfId="18305" xr:uid="{A67679E5-DE54-4C10-B5BF-16338C7497D5}"/>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0D7C347D-DC3E-4839-9C7D-01A97F1354C9}"/>
    <cellStyle name="Normal 5 2 4 2 5 2 2 3" xfId="25080" xr:uid="{F17EB890-2D90-4CB4-AD73-07579A719B10}"/>
    <cellStyle name="Normal 5 2 4 2 5 2 3" xfId="12422" xr:uid="{042BE0C6-6EDE-43B8-964C-3A295F546C9D}"/>
    <cellStyle name="Normal 5 2 4 2 5 2 4" xfId="20863" xr:uid="{80ED3B6F-7954-4B87-86E3-E43AF59E2C70}"/>
    <cellStyle name="Normal 5 2 4 2 5 3" xfId="6045" xr:uid="{00000000-0005-0000-0000-0000F3180000}"/>
    <cellStyle name="Normal 5 2 4 2 5 3 2" xfId="14495" xr:uid="{AF4D07C7-2B75-49DA-AF83-DCCBBC8B16E0}"/>
    <cellStyle name="Normal 5 2 4 2 5 3 3" xfId="22935" xr:uid="{2000B866-72E8-47E1-A57A-F706846FC847}"/>
    <cellStyle name="Normal 5 2 4 2 5 4" xfId="10277" xr:uid="{90A8A8D5-20BB-47C9-B0BA-AB0B68BEA825}"/>
    <cellStyle name="Normal 5 2 4 2 5 5" xfId="18718" xr:uid="{F539FE63-4DE8-42B2-B531-DF3F3092A7BC}"/>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0DACEBF7-5407-4DA7-91C1-A07F1B3A5481}"/>
    <cellStyle name="Normal 5 2 4 2 6 2 2 3" xfId="25493" xr:uid="{9FBA9DC6-4A4E-4614-A962-3CC9B1582C5B}"/>
    <cellStyle name="Normal 5 2 4 2 6 2 3" xfId="12835" xr:uid="{55E108D3-9D35-4FB3-9507-AE305105C322}"/>
    <cellStyle name="Normal 5 2 4 2 6 2 4" xfId="21276" xr:uid="{36D7551A-751D-42A0-8FE6-0D04070797F3}"/>
    <cellStyle name="Normal 5 2 4 2 6 3" xfId="6458" xr:uid="{00000000-0005-0000-0000-0000F7180000}"/>
    <cellStyle name="Normal 5 2 4 2 6 3 2" xfId="14908" xr:uid="{A2731ED8-3E62-40BC-8FBA-2F749BD1586A}"/>
    <cellStyle name="Normal 5 2 4 2 6 3 3" xfId="23348" xr:uid="{BD146457-C39E-46AE-B9E9-935625EF85F1}"/>
    <cellStyle name="Normal 5 2 4 2 6 4" xfId="10690" xr:uid="{A7FE9457-549B-45AF-979B-7CEA0E2F33F6}"/>
    <cellStyle name="Normal 5 2 4 2 6 5" xfId="19131" xr:uid="{B60A2D79-B2E3-4D73-8CDF-E44A75F22497}"/>
    <cellStyle name="Normal 5 2 4 2 7" xfId="2588" xr:uid="{00000000-0005-0000-0000-0000F8180000}"/>
    <cellStyle name="Normal 5 2 4 2 7 2" xfId="6871" xr:uid="{00000000-0005-0000-0000-0000F9180000}"/>
    <cellStyle name="Normal 5 2 4 2 7 2 2" xfId="15321" xr:uid="{B561C4FE-CE54-4A15-BB6E-A613AF9FB5EB}"/>
    <cellStyle name="Normal 5 2 4 2 7 2 3" xfId="23761" xr:uid="{3AD7F291-B52D-4745-8E05-7959D1DB47F8}"/>
    <cellStyle name="Normal 5 2 4 2 7 3" xfId="11103" xr:uid="{F4E6D750-5DDA-42EA-9CA0-27E9DAA74E55}"/>
    <cellStyle name="Normal 5 2 4 2 7 4" xfId="19544" xr:uid="{64F1C724-27D6-4CEC-BD98-750B3442E2F5}"/>
    <cellStyle name="Normal 5 2 4 2 8" xfId="4806" xr:uid="{00000000-0005-0000-0000-0000FA180000}"/>
    <cellStyle name="Normal 5 2 4 2 8 2" xfId="13256" xr:uid="{730CAA64-46E1-441E-88D1-D487FEF5E2FF}"/>
    <cellStyle name="Normal 5 2 4 2 8 3" xfId="21696" xr:uid="{C90970C9-82BB-48E5-A16F-861551689ECF}"/>
    <cellStyle name="Normal 5 2 4 2 9" xfId="9038" xr:uid="{F1D7EBBF-4739-458E-B0B2-35F86BA952FB}"/>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B1D0EC78-366B-441E-AFD5-21307E8720BA}"/>
    <cellStyle name="Normal 5 2 4 3 2 2 2 3" xfId="24256" xr:uid="{87C65A41-B251-43AD-AAA8-1E9359155E77}"/>
    <cellStyle name="Normal 5 2 4 3 2 2 3" xfId="11598" xr:uid="{682E6290-9104-43C8-94FD-A71E81884D2F}"/>
    <cellStyle name="Normal 5 2 4 3 2 2 4" xfId="20039" xr:uid="{FE2BD437-E471-40CA-9CDF-9EA0317E1588}"/>
    <cellStyle name="Normal 5 2 4 3 2 3" xfId="5221" xr:uid="{00000000-0005-0000-0000-0000FF180000}"/>
    <cellStyle name="Normal 5 2 4 3 2 3 2" xfId="13671" xr:uid="{23CA7457-AD46-412F-8EAA-2E79BB9EAAF0}"/>
    <cellStyle name="Normal 5 2 4 3 2 3 3" xfId="22111" xr:uid="{C508EF84-9FC1-49E6-BAA7-7CDD40DFB291}"/>
    <cellStyle name="Normal 5 2 4 3 2 4" xfId="9453" xr:uid="{D3FBA3A7-6DFB-42B2-879B-AF414C7E3CEE}"/>
    <cellStyle name="Normal 5 2 4 3 2 5" xfId="17894" xr:uid="{4B278E46-4847-40E9-AAC8-6158C637FA80}"/>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5444BD82-AE94-4438-AB3A-BD500B76FE8E}"/>
    <cellStyle name="Normal 5 2 4 3 3 2 2 3" xfId="24669" xr:uid="{F57D9170-BEB5-44D6-8CDA-D2BED82758EC}"/>
    <cellStyle name="Normal 5 2 4 3 3 2 3" xfId="12011" xr:uid="{528C2B08-E88F-44BC-85F0-3A2528F34492}"/>
    <cellStyle name="Normal 5 2 4 3 3 2 4" xfId="20452" xr:uid="{FCB66812-66F3-43B8-9999-4CEA3369C4C2}"/>
    <cellStyle name="Normal 5 2 4 3 3 3" xfId="5634" xr:uid="{00000000-0005-0000-0000-000003190000}"/>
    <cellStyle name="Normal 5 2 4 3 3 3 2" xfId="14084" xr:uid="{9C9F890F-190C-401D-96EA-C393B8CC2AD2}"/>
    <cellStyle name="Normal 5 2 4 3 3 3 3" xfId="22524" xr:uid="{E683431A-E4F6-4AD4-8393-3D89F02C0D99}"/>
    <cellStyle name="Normal 5 2 4 3 3 4" xfId="9866" xr:uid="{4E172930-05D7-48FC-94A8-3266BD4A130D}"/>
    <cellStyle name="Normal 5 2 4 3 3 5" xfId="18307" xr:uid="{C2062EB7-CE7D-40DD-A152-1D7DAAC2472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16329544-8666-4FA3-9878-634A3B85EA45}"/>
    <cellStyle name="Normal 5 2 4 3 4 2 2 3" xfId="25082" xr:uid="{52280435-3F7E-4197-B78D-06602B28A3F6}"/>
    <cellStyle name="Normal 5 2 4 3 4 2 3" xfId="12424" xr:uid="{4E218DC8-7333-445C-8481-708F336816E5}"/>
    <cellStyle name="Normal 5 2 4 3 4 2 4" xfId="20865" xr:uid="{87E201DD-DF85-4069-9789-ED51689C9862}"/>
    <cellStyle name="Normal 5 2 4 3 4 3" xfId="6047" xr:uid="{00000000-0005-0000-0000-000007190000}"/>
    <cellStyle name="Normal 5 2 4 3 4 3 2" xfId="14497" xr:uid="{AEED9ECA-3CD2-4915-BCD4-C287F588C8D2}"/>
    <cellStyle name="Normal 5 2 4 3 4 3 3" xfId="22937" xr:uid="{978119B7-B5AA-4E45-80C0-D2830AFCA326}"/>
    <cellStyle name="Normal 5 2 4 3 4 4" xfId="10279" xr:uid="{BA1ABD21-6A31-4463-AA98-F770124224B5}"/>
    <cellStyle name="Normal 5 2 4 3 4 5" xfId="18720" xr:uid="{4D985BF5-B2ED-49C1-B272-6F71CCD4D4D3}"/>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BA24DA28-F9F0-456D-9A24-DFDA86190922}"/>
    <cellStyle name="Normal 5 2 4 3 5 2 2 3" xfId="25495" xr:uid="{1AA0C3F4-A179-4B5D-A740-29268CB06D32}"/>
    <cellStyle name="Normal 5 2 4 3 5 2 3" xfId="12837" xr:uid="{54182C8A-F900-46B2-84E3-8618B16CD36F}"/>
    <cellStyle name="Normal 5 2 4 3 5 2 4" xfId="21278" xr:uid="{5F356E68-948D-439C-BF89-9C8CF31E17DE}"/>
    <cellStyle name="Normal 5 2 4 3 5 3" xfId="6460" xr:uid="{00000000-0005-0000-0000-00000B190000}"/>
    <cellStyle name="Normal 5 2 4 3 5 3 2" xfId="14910" xr:uid="{AA6AA994-B18A-482D-8237-43048B0D84BE}"/>
    <cellStyle name="Normal 5 2 4 3 5 3 3" xfId="23350" xr:uid="{6B05EAC9-5267-4CAF-8A8F-F228DC103FBA}"/>
    <cellStyle name="Normal 5 2 4 3 5 4" xfId="10692" xr:uid="{0FC2F947-E0AC-4071-B265-8B272BDBB3B4}"/>
    <cellStyle name="Normal 5 2 4 3 5 5" xfId="19133" xr:uid="{D9ECD42A-9430-498B-AAE8-DCF2009B0B47}"/>
    <cellStyle name="Normal 5 2 4 3 6" xfId="2590" xr:uid="{00000000-0005-0000-0000-00000C190000}"/>
    <cellStyle name="Normal 5 2 4 3 6 2" xfId="6873" xr:uid="{00000000-0005-0000-0000-00000D190000}"/>
    <cellStyle name="Normal 5 2 4 3 6 2 2" xfId="15323" xr:uid="{41659B01-4265-451C-992D-8118786995A5}"/>
    <cellStyle name="Normal 5 2 4 3 6 2 3" xfId="23763" xr:uid="{8C5DEDB2-7813-4E25-AC5A-92E03A2BCF79}"/>
    <cellStyle name="Normal 5 2 4 3 6 3" xfId="11105" xr:uid="{43125460-7682-4E20-9951-E8870CF09D95}"/>
    <cellStyle name="Normal 5 2 4 3 6 4" xfId="19546" xr:uid="{4ED250B5-89F8-46BC-9344-3E036C474ACB}"/>
    <cellStyle name="Normal 5 2 4 3 7" xfId="4808" xr:uid="{00000000-0005-0000-0000-00000E190000}"/>
    <cellStyle name="Normal 5 2 4 3 7 2" xfId="13258" xr:uid="{AD0DB57E-1C4E-454C-B36F-AF2A24D35075}"/>
    <cellStyle name="Normal 5 2 4 3 7 3" xfId="21698" xr:uid="{175B5DC8-5301-4896-AF0B-30ECEE19D1DF}"/>
    <cellStyle name="Normal 5 2 4 3 8" xfId="9040" xr:uid="{ECD5D002-4254-4720-804A-4F183FA198AD}"/>
    <cellStyle name="Normal 5 2 4 3 9" xfId="17481" xr:uid="{3EB40B43-010C-4139-9A83-3EEE7FC287C0}"/>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835A6884-840F-471F-B781-A0177F5EAB2B}"/>
    <cellStyle name="Normal 5 2 4 4 2 2 3" xfId="24253" xr:uid="{79ACF7C7-C42F-4DAB-B889-1A23A88DED74}"/>
    <cellStyle name="Normal 5 2 4 4 2 3" xfId="11595" xr:uid="{AEB7F9CE-0DC9-4003-A3B5-78CBE723C19C}"/>
    <cellStyle name="Normal 5 2 4 4 2 4" xfId="20036" xr:uid="{31FA35FF-A398-4C60-9E7E-4BE868AFE4DB}"/>
    <cellStyle name="Normal 5 2 4 4 3" xfId="5218" xr:uid="{00000000-0005-0000-0000-000012190000}"/>
    <cellStyle name="Normal 5 2 4 4 3 2" xfId="13668" xr:uid="{14BC1B6E-F58C-44F3-B944-5221ACD58392}"/>
    <cellStyle name="Normal 5 2 4 4 3 3" xfId="22108" xr:uid="{A9DD6E4F-9C4E-44EC-838F-B4219A0C7591}"/>
    <cellStyle name="Normal 5 2 4 4 4" xfId="9450" xr:uid="{4C579F46-913F-4F89-9567-40B66AF3EF2E}"/>
    <cellStyle name="Normal 5 2 4 4 5" xfId="17891" xr:uid="{F0BC5CBC-8829-49F2-A00C-623C7B146954}"/>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0586E484-FFE2-4C9F-876E-010379935910}"/>
    <cellStyle name="Normal 5 2 4 5 2 2 3" xfId="24666" xr:uid="{2D303F0A-1C28-451E-A1AF-E8F64C16F527}"/>
    <cellStyle name="Normal 5 2 4 5 2 3" xfId="12008" xr:uid="{C6D53898-52CD-4825-976E-C267155807E9}"/>
    <cellStyle name="Normal 5 2 4 5 2 4" xfId="20449" xr:uid="{1886C0B3-F74D-499E-9C28-91427B285BDB}"/>
    <cellStyle name="Normal 5 2 4 5 3" xfId="5631" xr:uid="{00000000-0005-0000-0000-000016190000}"/>
    <cellStyle name="Normal 5 2 4 5 3 2" xfId="14081" xr:uid="{A824FA6F-51DF-4837-A7BD-F3DE7B7CA198}"/>
    <cellStyle name="Normal 5 2 4 5 3 3" xfId="22521" xr:uid="{71FCA7CA-43C4-42BB-80A7-D3C2623EDB3E}"/>
    <cellStyle name="Normal 5 2 4 5 4" xfId="9863" xr:uid="{E68E25AB-FE0B-4C43-9310-0AC87D6DCD5D}"/>
    <cellStyle name="Normal 5 2 4 5 5" xfId="18304" xr:uid="{98722057-3A6A-4EB1-9BD5-A3002DAED69B}"/>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1B5D7A92-83FD-4E27-BDC3-07B34C8D043F}"/>
    <cellStyle name="Normal 5 2 4 6 2 2 3" xfId="25079" xr:uid="{A005FF2A-8BF1-44F0-A1A0-98A572EE17C7}"/>
    <cellStyle name="Normal 5 2 4 6 2 3" xfId="12421" xr:uid="{C8E918C3-4528-4649-8D4C-97C4DDCDD33C}"/>
    <cellStyle name="Normal 5 2 4 6 2 4" xfId="20862" xr:uid="{FB3BBFD5-FA86-4011-B8CA-8005597B78EB}"/>
    <cellStyle name="Normal 5 2 4 6 3" xfId="6044" xr:uid="{00000000-0005-0000-0000-00001A190000}"/>
    <cellStyle name="Normal 5 2 4 6 3 2" xfId="14494" xr:uid="{06C4F763-F258-4B85-9CF5-C1F3E32DFCC0}"/>
    <cellStyle name="Normal 5 2 4 6 3 3" xfId="22934" xr:uid="{78B79B68-D523-4948-8ACF-F9D9C8FC99C1}"/>
    <cellStyle name="Normal 5 2 4 6 4" xfId="10276" xr:uid="{A17960C8-29F9-4B8C-B428-EBB4FA8CC0A8}"/>
    <cellStyle name="Normal 5 2 4 6 5" xfId="18717" xr:uid="{1CC26F3E-4F9E-4358-9A42-A19736425E60}"/>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6A572958-82E8-4918-9C01-BD7B2D5CE690}"/>
    <cellStyle name="Normal 5 2 4 7 2 2 3" xfId="25492" xr:uid="{6A99A6E9-E57E-47E7-A56C-54B35BA09664}"/>
    <cellStyle name="Normal 5 2 4 7 2 3" xfId="12834" xr:uid="{B3CFD3B9-EA1E-41FA-8B38-2033CA72269A}"/>
    <cellStyle name="Normal 5 2 4 7 2 4" xfId="21275" xr:uid="{DE0E8882-E8B2-4255-BCDB-C221835B9F89}"/>
    <cellStyle name="Normal 5 2 4 7 3" xfId="6457" xr:uid="{00000000-0005-0000-0000-00001E190000}"/>
    <cellStyle name="Normal 5 2 4 7 3 2" xfId="14907" xr:uid="{BBCA2E07-125A-424B-BFEF-EFCFB268B413}"/>
    <cellStyle name="Normal 5 2 4 7 3 3" xfId="23347" xr:uid="{FBF05024-BC45-43F9-8C55-85184321433E}"/>
    <cellStyle name="Normal 5 2 4 7 4" xfId="10689" xr:uid="{B02D4855-F47E-4E80-96DE-143415A6BDE2}"/>
    <cellStyle name="Normal 5 2 4 7 5" xfId="19130" xr:uid="{6E93D38D-1918-4B87-81D2-7F7D64947D01}"/>
    <cellStyle name="Normal 5 2 4 8" xfId="2587" xr:uid="{00000000-0005-0000-0000-00001F190000}"/>
    <cellStyle name="Normal 5 2 4 8 2" xfId="6870" xr:uid="{00000000-0005-0000-0000-000020190000}"/>
    <cellStyle name="Normal 5 2 4 8 2 2" xfId="15320" xr:uid="{C430ECB1-F8C7-4D72-8F39-F513FEB224C4}"/>
    <cellStyle name="Normal 5 2 4 8 2 3" xfId="23760" xr:uid="{5A6EE5AA-83E6-440E-B05C-4F701E5809CA}"/>
    <cellStyle name="Normal 5 2 4 8 3" xfId="11102" xr:uid="{B58879BB-BFA9-448A-9BA1-78F56B314AB2}"/>
    <cellStyle name="Normal 5 2 4 8 4" xfId="19543" xr:uid="{69240F46-EB5B-4118-B85C-24F0AB5055D3}"/>
    <cellStyle name="Normal 5 2 4 9" xfId="4805" xr:uid="{00000000-0005-0000-0000-000021190000}"/>
    <cellStyle name="Normal 5 2 4 9 2" xfId="13255" xr:uid="{D6268C1C-1370-4BAA-9C65-23F9B5F2E388}"/>
    <cellStyle name="Normal 5 2 4 9 3" xfId="21695" xr:uid="{DC1D1DC7-6963-47D6-B7C8-E871E38C89FA}"/>
    <cellStyle name="Normal 5 2 5" xfId="436" xr:uid="{00000000-0005-0000-0000-000022190000}"/>
    <cellStyle name="Normal 5 2 5 10" xfId="17482" xr:uid="{EB292133-DDEE-4613-80FC-B5FD27D8F2D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D2A30465-1766-4704-B12C-CE701345E1C6}"/>
    <cellStyle name="Normal 5 2 5 2 2 2 2 3" xfId="24258" xr:uid="{5228C985-E5F0-49F1-BAE9-2409C2B396E8}"/>
    <cellStyle name="Normal 5 2 5 2 2 2 3" xfId="11600" xr:uid="{1D058ECA-AA77-475C-BC72-8D92415A39B0}"/>
    <cellStyle name="Normal 5 2 5 2 2 2 4" xfId="20041" xr:uid="{E88E0B05-70EF-4CD7-A292-8021B173F61F}"/>
    <cellStyle name="Normal 5 2 5 2 2 3" xfId="5223" xr:uid="{00000000-0005-0000-0000-000027190000}"/>
    <cellStyle name="Normal 5 2 5 2 2 3 2" xfId="13673" xr:uid="{B88C6B53-F2F2-4AA8-AF73-F3D4FE7B5B63}"/>
    <cellStyle name="Normal 5 2 5 2 2 3 3" xfId="22113" xr:uid="{224E56B5-4F1A-40B2-BBCB-3C7636EB6CFA}"/>
    <cellStyle name="Normal 5 2 5 2 2 4" xfId="9455" xr:uid="{0997A618-9C29-4BA6-8FCE-02A55EC348D4}"/>
    <cellStyle name="Normal 5 2 5 2 2 5" xfId="17896" xr:uid="{238DC5C7-3CD0-48E5-9607-C0EE936215A4}"/>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D6353862-0FD9-4CE3-98FC-6A95A0E05805}"/>
    <cellStyle name="Normal 5 2 5 2 3 2 2 3" xfId="24671" xr:uid="{F54B6133-F056-4F68-9D1F-4431BCD80233}"/>
    <cellStyle name="Normal 5 2 5 2 3 2 3" xfId="12013" xr:uid="{B44EDB79-5C05-4368-884B-B55747D2FE42}"/>
    <cellStyle name="Normal 5 2 5 2 3 2 4" xfId="20454" xr:uid="{3887A5E2-51D1-4CC4-9429-7654AE9B2BB0}"/>
    <cellStyle name="Normal 5 2 5 2 3 3" xfId="5636" xr:uid="{00000000-0005-0000-0000-00002B190000}"/>
    <cellStyle name="Normal 5 2 5 2 3 3 2" xfId="14086" xr:uid="{C1273080-D50E-4433-A682-2E61D86ADE99}"/>
    <cellStyle name="Normal 5 2 5 2 3 3 3" xfId="22526" xr:uid="{D0EA4CAE-7F8A-4393-B60E-5B9779539440}"/>
    <cellStyle name="Normal 5 2 5 2 3 4" xfId="9868" xr:uid="{F62A5FCE-AB12-45A9-A6E5-C91F4B57FF52}"/>
    <cellStyle name="Normal 5 2 5 2 3 5" xfId="18309" xr:uid="{8AD704C4-0EB4-4E3C-8E23-EF23AFB7E489}"/>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D789CB80-F54D-4A8D-9518-8BD3F16D323B}"/>
    <cellStyle name="Normal 5 2 5 2 4 2 2 3" xfId="25084" xr:uid="{7C52AD98-AA90-4F3B-A627-42CACD51DA59}"/>
    <cellStyle name="Normal 5 2 5 2 4 2 3" xfId="12426" xr:uid="{A071247B-2847-4030-89BB-7173F3B55300}"/>
    <cellStyle name="Normal 5 2 5 2 4 2 4" xfId="20867" xr:uid="{7339A8F9-C4BC-4FBE-A223-8D320EB60C55}"/>
    <cellStyle name="Normal 5 2 5 2 4 3" xfId="6049" xr:uid="{00000000-0005-0000-0000-00002F190000}"/>
    <cellStyle name="Normal 5 2 5 2 4 3 2" xfId="14499" xr:uid="{9AB4629C-CC6F-4628-BABA-739DCD384A8C}"/>
    <cellStyle name="Normal 5 2 5 2 4 3 3" xfId="22939" xr:uid="{6C714216-9DE1-4572-B469-5BDFED262CC8}"/>
    <cellStyle name="Normal 5 2 5 2 4 4" xfId="10281" xr:uid="{B5D09703-6853-4115-BC88-2DE3910B6827}"/>
    <cellStyle name="Normal 5 2 5 2 4 5" xfId="18722" xr:uid="{3971C181-2F62-4422-B556-B42C2B09D08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D959A15-0BC6-47E0-9F6B-DC64D38EFF7E}"/>
    <cellStyle name="Normal 5 2 5 2 5 2 2 3" xfId="25497" xr:uid="{6C3D1B25-1CBD-4F6F-8186-C211A2C14024}"/>
    <cellStyle name="Normal 5 2 5 2 5 2 3" xfId="12839" xr:uid="{2C296F5A-975C-4A43-9551-7E9EFD10F1E0}"/>
    <cellStyle name="Normal 5 2 5 2 5 2 4" xfId="21280" xr:uid="{048FCF2D-DD99-483C-B739-9875F83AB019}"/>
    <cellStyle name="Normal 5 2 5 2 5 3" xfId="6462" xr:uid="{00000000-0005-0000-0000-000033190000}"/>
    <cellStyle name="Normal 5 2 5 2 5 3 2" xfId="14912" xr:uid="{D2E2A0C3-77B7-4B45-B375-E8F0D8F9DF38}"/>
    <cellStyle name="Normal 5 2 5 2 5 3 3" xfId="23352" xr:uid="{E98FEA74-FF34-452F-9146-EC9790C195E7}"/>
    <cellStyle name="Normal 5 2 5 2 5 4" xfId="10694" xr:uid="{503E50E2-7C63-46CE-A2D1-3C958F6F780F}"/>
    <cellStyle name="Normal 5 2 5 2 5 5" xfId="19135" xr:uid="{64AB24B9-ABA6-4DF3-9B0D-954565D4D419}"/>
    <cellStyle name="Normal 5 2 5 2 6" xfId="2592" xr:uid="{00000000-0005-0000-0000-000034190000}"/>
    <cellStyle name="Normal 5 2 5 2 6 2" xfId="6875" xr:uid="{00000000-0005-0000-0000-000035190000}"/>
    <cellStyle name="Normal 5 2 5 2 6 2 2" xfId="15325" xr:uid="{6BEA3261-5F4F-43E8-8675-3A7A0D13FD54}"/>
    <cellStyle name="Normal 5 2 5 2 6 2 3" xfId="23765" xr:uid="{F241D83B-F15D-4DE9-8EE0-7C057875FB9B}"/>
    <cellStyle name="Normal 5 2 5 2 6 3" xfId="11107" xr:uid="{9D86557C-2C78-4EE8-90CF-BFF915ADD6B5}"/>
    <cellStyle name="Normal 5 2 5 2 6 4" xfId="19548" xr:uid="{87579F72-C428-45F3-AC26-BB354C47A3F5}"/>
    <cellStyle name="Normal 5 2 5 2 7" xfId="4810" xr:uid="{00000000-0005-0000-0000-000036190000}"/>
    <cellStyle name="Normal 5 2 5 2 7 2" xfId="13260" xr:uid="{21B6ED2B-5BA7-426E-8259-7417A3CCEB29}"/>
    <cellStyle name="Normal 5 2 5 2 7 3" xfId="21700" xr:uid="{79B6687C-61B8-416A-9B66-6B8DA3827800}"/>
    <cellStyle name="Normal 5 2 5 2 8" xfId="9042" xr:uid="{5E69614A-DF6C-4EE3-8D1D-5F28B4CEF861}"/>
    <cellStyle name="Normal 5 2 5 2 9" xfId="17483" xr:uid="{16FC0324-E878-4CDA-8FDF-FF0A07096A17}"/>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A46DD8BA-1AC6-41CE-B9AD-06A5514DA261}"/>
    <cellStyle name="Normal 5 2 5 3 2 2 3" xfId="24257" xr:uid="{81E0DE0E-3D10-484B-A7C5-970C30BAB9E1}"/>
    <cellStyle name="Normal 5 2 5 3 2 3" xfId="11599" xr:uid="{309ADDDB-7974-4AED-99FD-5CA577652956}"/>
    <cellStyle name="Normal 5 2 5 3 2 4" xfId="20040" xr:uid="{850D599B-1F6E-4BA0-818F-F8A887938E85}"/>
    <cellStyle name="Normal 5 2 5 3 3" xfId="5222" xr:uid="{00000000-0005-0000-0000-00003A190000}"/>
    <cellStyle name="Normal 5 2 5 3 3 2" xfId="13672" xr:uid="{DA01C53C-0890-490F-ABD7-2555580EBDB7}"/>
    <cellStyle name="Normal 5 2 5 3 3 3" xfId="22112" xr:uid="{6BD7947D-082C-40C5-BD9C-440659384E74}"/>
    <cellStyle name="Normal 5 2 5 3 4" xfId="9454" xr:uid="{7314FB4A-C655-4A59-B2FF-B2217AB2D954}"/>
    <cellStyle name="Normal 5 2 5 3 5" xfId="17895" xr:uid="{8E1779C8-29F1-4ECF-BDB4-5EBC7D8EE1D7}"/>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3A403CE0-214D-4EAB-A554-3AD1C03B9316}"/>
    <cellStyle name="Normal 5 2 5 4 2 2 3" xfId="24670" xr:uid="{66E7EB7A-1009-453E-A5BD-AEA11E73F5E8}"/>
    <cellStyle name="Normal 5 2 5 4 2 3" xfId="12012" xr:uid="{2B5158B6-B397-4D81-A490-608B1032D96F}"/>
    <cellStyle name="Normal 5 2 5 4 2 4" xfId="20453" xr:uid="{14D1E34C-86B7-478B-B3A8-A62364AF0AAF}"/>
    <cellStyle name="Normal 5 2 5 4 3" xfId="5635" xr:uid="{00000000-0005-0000-0000-00003E190000}"/>
    <cellStyle name="Normal 5 2 5 4 3 2" xfId="14085" xr:uid="{2C629FA4-2601-446D-82EF-C24A07E4A11E}"/>
    <cellStyle name="Normal 5 2 5 4 3 3" xfId="22525" xr:uid="{C3BF7F8A-605C-473D-9651-846F6C267DF0}"/>
    <cellStyle name="Normal 5 2 5 4 4" xfId="9867" xr:uid="{E88B0D94-CB41-4C2C-829A-5BEF51712D07}"/>
    <cellStyle name="Normal 5 2 5 4 5" xfId="18308" xr:uid="{8C04C94D-73FD-4844-8F6B-D44470804EDF}"/>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A1D86DE0-0CD6-4A9E-8A5C-9875FEE0E920}"/>
    <cellStyle name="Normal 5 2 5 5 2 2 3" xfId="25083" xr:uid="{0F6827C8-484C-408E-BE92-80A19FFA9B46}"/>
    <cellStyle name="Normal 5 2 5 5 2 3" xfId="12425" xr:uid="{4065CCFC-A612-4FCC-88D0-43EDB33D4D64}"/>
    <cellStyle name="Normal 5 2 5 5 2 4" xfId="20866" xr:uid="{773659C2-16D8-4571-8C75-72ADD42B0177}"/>
    <cellStyle name="Normal 5 2 5 5 3" xfId="6048" xr:uid="{00000000-0005-0000-0000-000042190000}"/>
    <cellStyle name="Normal 5 2 5 5 3 2" xfId="14498" xr:uid="{6311DDE3-22EF-4A6A-8D40-6DFD1EFBB5DB}"/>
    <cellStyle name="Normal 5 2 5 5 3 3" xfId="22938" xr:uid="{97808352-F270-42AD-B673-80FAD1121525}"/>
    <cellStyle name="Normal 5 2 5 5 4" xfId="10280" xr:uid="{493396B6-82D5-4198-AEC2-F9E9631EC1B5}"/>
    <cellStyle name="Normal 5 2 5 5 5" xfId="18721" xr:uid="{B0E8B539-0337-4B20-8D6D-32C0E5501C32}"/>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6CE0A94A-89AC-4CE6-87BD-C7CD12BA3E23}"/>
    <cellStyle name="Normal 5 2 5 6 2 2 3" xfId="25496" xr:uid="{905E66F6-076D-4D1C-82FB-868680381C1A}"/>
    <cellStyle name="Normal 5 2 5 6 2 3" xfId="12838" xr:uid="{AB760901-88F0-4325-BD14-932036D01AF3}"/>
    <cellStyle name="Normal 5 2 5 6 2 4" xfId="21279" xr:uid="{DA6B087D-6B4F-473D-B6DD-C4355F245F51}"/>
    <cellStyle name="Normal 5 2 5 6 3" xfId="6461" xr:uid="{00000000-0005-0000-0000-000046190000}"/>
    <cellStyle name="Normal 5 2 5 6 3 2" xfId="14911" xr:uid="{984D8B63-1371-43BE-9BF6-D82467A509AE}"/>
    <cellStyle name="Normal 5 2 5 6 3 3" xfId="23351" xr:uid="{31717E24-D37E-4550-9C3F-8782C7D10408}"/>
    <cellStyle name="Normal 5 2 5 6 4" xfId="10693" xr:uid="{5689CD51-685C-44F2-B0D0-22DAA4C2EE39}"/>
    <cellStyle name="Normal 5 2 5 6 5" xfId="19134" xr:uid="{8B6D5279-045B-4F79-9E64-89D306337B09}"/>
    <cellStyle name="Normal 5 2 5 7" xfId="2591" xr:uid="{00000000-0005-0000-0000-000047190000}"/>
    <cellStyle name="Normal 5 2 5 7 2" xfId="6874" xr:uid="{00000000-0005-0000-0000-000048190000}"/>
    <cellStyle name="Normal 5 2 5 7 2 2" xfId="15324" xr:uid="{394EAD1C-3E8E-4308-8775-D7C9660EE32D}"/>
    <cellStyle name="Normal 5 2 5 7 2 3" xfId="23764" xr:uid="{C5420411-58A0-4DEC-AF72-4E4AC7D752F6}"/>
    <cellStyle name="Normal 5 2 5 7 3" xfId="11106" xr:uid="{15077129-3417-44B6-B9E3-F86C6E964CFA}"/>
    <cellStyle name="Normal 5 2 5 7 4" xfId="19547" xr:uid="{0B1D3641-B2AD-4426-A280-95BE9C39C30A}"/>
    <cellStyle name="Normal 5 2 5 8" xfId="4809" xr:uid="{00000000-0005-0000-0000-000049190000}"/>
    <cellStyle name="Normal 5 2 5 8 2" xfId="13259" xr:uid="{802F9B81-440F-4F27-9B20-411A9DBEC699}"/>
    <cellStyle name="Normal 5 2 5 8 3" xfId="21699" xr:uid="{7BD6DF7C-9BFB-45DA-908C-865D3789F1D1}"/>
    <cellStyle name="Normal 5 2 5 9" xfId="9041" xr:uid="{E0DBB973-429B-4029-96F3-BBD5B5751006}"/>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4A66A538-9EB5-4293-B759-6FC17B3B82A7}"/>
    <cellStyle name="Normal 5 2 6 2 2 2 3" xfId="24259" xr:uid="{723D4C2B-82B2-4E2E-9952-37FAFDF481DB}"/>
    <cellStyle name="Normal 5 2 6 2 2 3" xfId="11601" xr:uid="{7D8C9B25-66F1-44AC-98BA-6274EFB5F9E5}"/>
    <cellStyle name="Normal 5 2 6 2 2 4" xfId="20042" xr:uid="{6FB9B54A-BCE1-4078-B46E-FE185545E648}"/>
    <cellStyle name="Normal 5 2 6 2 3" xfId="5224" xr:uid="{00000000-0005-0000-0000-00004E190000}"/>
    <cellStyle name="Normal 5 2 6 2 3 2" xfId="13674" xr:uid="{B5A19094-F790-4C15-BAAA-EC6E1F665CF8}"/>
    <cellStyle name="Normal 5 2 6 2 3 3" xfId="22114" xr:uid="{769D8E3E-3F27-4BAB-8017-A9A5DCACCEB3}"/>
    <cellStyle name="Normal 5 2 6 2 4" xfId="9456" xr:uid="{F32D05E7-A410-4AD4-9642-32093EB58049}"/>
    <cellStyle name="Normal 5 2 6 2 5" xfId="17897" xr:uid="{4BA8E41C-19FE-4B54-98E4-5322BBAC66A9}"/>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69C211A9-346D-4193-BB8D-CE36E37F8AFF}"/>
    <cellStyle name="Normal 5 2 6 3 2 2 3" xfId="24672" xr:uid="{E04AD447-1B16-449C-8A08-F2ED04978E69}"/>
    <cellStyle name="Normal 5 2 6 3 2 3" xfId="12014" xr:uid="{AA3B6F8D-2080-4836-87ED-C28E894AF7B7}"/>
    <cellStyle name="Normal 5 2 6 3 2 4" xfId="20455" xr:uid="{1002628D-ABAC-4E31-86C0-1F451DC49212}"/>
    <cellStyle name="Normal 5 2 6 3 3" xfId="5637" xr:uid="{00000000-0005-0000-0000-000052190000}"/>
    <cellStyle name="Normal 5 2 6 3 3 2" xfId="14087" xr:uid="{82332D90-6BC5-4212-8E74-2E448E99BC20}"/>
    <cellStyle name="Normal 5 2 6 3 3 3" xfId="22527" xr:uid="{BB0D5E1A-5D53-475C-8043-AD7110C68327}"/>
    <cellStyle name="Normal 5 2 6 3 4" xfId="9869" xr:uid="{61ADD0B5-CBE8-46ED-AC01-792CB50DC39D}"/>
    <cellStyle name="Normal 5 2 6 3 5" xfId="18310" xr:uid="{0E35A88B-8C9A-4253-BB73-D4C5A34E4DFE}"/>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2D41B508-E878-41CB-AA6F-5E556DF7F845}"/>
    <cellStyle name="Normal 5 2 6 4 2 2 3" xfId="25085" xr:uid="{FC717C9A-3E36-42CA-AEF0-989FA958324C}"/>
    <cellStyle name="Normal 5 2 6 4 2 3" xfId="12427" xr:uid="{2F09FECB-F888-4E29-BD02-E8F45429F717}"/>
    <cellStyle name="Normal 5 2 6 4 2 4" xfId="20868" xr:uid="{518C119E-A265-46FB-A512-CDFA9E84E3A0}"/>
    <cellStyle name="Normal 5 2 6 4 3" xfId="6050" xr:uid="{00000000-0005-0000-0000-000056190000}"/>
    <cellStyle name="Normal 5 2 6 4 3 2" xfId="14500" xr:uid="{38AE364D-CF95-45EB-AF2F-A6AA1EFCB855}"/>
    <cellStyle name="Normal 5 2 6 4 3 3" xfId="22940" xr:uid="{2E89F044-6B25-4024-899F-59599AC5B0C5}"/>
    <cellStyle name="Normal 5 2 6 4 4" xfId="10282" xr:uid="{0DBB3B2C-CBF5-495E-93EC-67A81997979D}"/>
    <cellStyle name="Normal 5 2 6 4 5" xfId="18723" xr:uid="{98DBF58C-E804-4DB7-B6D4-B4B8B592A409}"/>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3D4A2513-5CCC-4F86-BFCD-4B1C31F943F3}"/>
    <cellStyle name="Normal 5 2 6 5 2 2 3" xfId="25498" xr:uid="{61BE0E82-B2A9-4015-9E51-22DD091F50BC}"/>
    <cellStyle name="Normal 5 2 6 5 2 3" xfId="12840" xr:uid="{9269C419-DB27-40E8-873E-63ADEB00FAE1}"/>
    <cellStyle name="Normal 5 2 6 5 2 4" xfId="21281" xr:uid="{AE327E20-94E6-4DA7-A3E7-722C73E6E72F}"/>
    <cellStyle name="Normal 5 2 6 5 3" xfId="6463" xr:uid="{00000000-0005-0000-0000-00005A190000}"/>
    <cellStyle name="Normal 5 2 6 5 3 2" xfId="14913" xr:uid="{7964EB57-015C-440A-910C-3A36797A5179}"/>
    <cellStyle name="Normal 5 2 6 5 3 3" xfId="23353" xr:uid="{39090D07-5F2F-4F06-B8BD-351C2E183E80}"/>
    <cellStyle name="Normal 5 2 6 5 4" xfId="10695" xr:uid="{36E235FA-4DC4-4A6D-8DA4-DD8F1853ED18}"/>
    <cellStyle name="Normal 5 2 6 5 5" xfId="19136" xr:uid="{FB66BD91-3F65-4FCD-9524-3F147BBF36EF}"/>
    <cellStyle name="Normal 5 2 6 6" xfId="2593" xr:uid="{00000000-0005-0000-0000-00005B190000}"/>
    <cellStyle name="Normal 5 2 6 6 2" xfId="6876" xr:uid="{00000000-0005-0000-0000-00005C190000}"/>
    <cellStyle name="Normal 5 2 6 6 2 2" xfId="15326" xr:uid="{8A141CC3-A9E2-4138-B1A4-05249D0B4EC6}"/>
    <cellStyle name="Normal 5 2 6 6 2 3" xfId="23766" xr:uid="{823B6C0B-0ED6-4DC4-B862-21EB69B5F2AC}"/>
    <cellStyle name="Normal 5 2 6 6 3" xfId="11108" xr:uid="{9ED498DB-75C0-4B3C-ADD5-D3DD024A5EDF}"/>
    <cellStyle name="Normal 5 2 6 6 4" xfId="19549" xr:uid="{F2C8D4B0-DD85-4993-92EB-DA8B5080955B}"/>
    <cellStyle name="Normal 5 2 6 7" xfId="4811" xr:uid="{00000000-0005-0000-0000-00005D190000}"/>
    <cellStyle name="Normal 5 2 6 7 2" xfId="13261" xr:uid="{4236C7CA-4ECB-495D-953F-F6E7D911900E}"/>
    <cellStyle name="Normal 5 2 6 7 3" xfId="21701" xr:uid="{5494342E-A6A1-4794-AB73-71DD3D072B04}"/>
    <cellStyle name="Normal 5 2 6 8" xfId="9043" xr:uid="{6D7801CA-A75A-45C0-B4EC-02AA6F0FD825}"/>
    <cellStyle name="Normal 5 2 6 9" xfId="17484" xr:uid="{E6CF79F7-9785-4254-BDC1-A1AF73F1A867}"/>
    <cellStyle name="Normal 5 2 7" xfId="881" xr:uid="{00000000-0005-0000-0000-00005E190000}"/>
    <cellStyle name="Normal 5 2 7 2" xfId="3116" xr:uid="{00000000-0005-0000-0000-00005F190000}"/>
    <cellStyle name="Normal 5 2 7 2 2" xfId="7338" xr:uid="{00000000-0005-0000-0000-000060190000}"/>
    <cellStyle name="Normal 5 2 7 2 2 2" xfId="15788" xr:uid="{9086D7D5-1C86-48C8-8CCC-EB1F42BB61AD}"/>
    <cellStyle name="Normal 5 2 7 2 2 3" xfId="24228" xr:uid="{9E002F66-A216-4339-A6FD-B5BD24080E89}"/>
    <cellStyle name="Normal 5 2 7 2 3" xfId="11570" xr:uid="{0E5D778B-3F2F-4198-83F1-498947BBD3AD}"/>
    <cellStyle name="Normal 5 2 7 2 4" xfId="20011" xr:uid="{AFE5CA3B-2C59-4252-AEB7-B842B799009D}"/>
    <cellStyle name="Normal 5 2 7 3" xfId="5193" xr:uid="{00000000-0005-0000-0000-000061190000}"/>
    <cellStyle name="Normal 5 2 7 3 2" xfId="13643" xr:uid="{2F1768B8-2F2B-48D7-9EA9-DE7681F8AFAD}"/>
    <cellStyle name="Normal 5 2 7 3 3" xfId="22083" xr:uid="{B6EB13EB-9F1B-495D-8C37-EE6A5CB8852B}"/>
    <cellStyle name="Normal 5 2 7 4" xfId="9425" xr:uid="{1D26B9E8-1E3B-4AFE-AD0F-C80E26B3A2B2}"/>
    <cellStyle name="Normal 5 2 7 5" xfId="17866" xr:uid="{6222AA1C-2CDA-4595-A557-8287F37AD503}"/>
    <cellStyle name="Normal 5 2 8" xfId="1299" xr:uid="{00000000-0005-0000-0000-000062190000}"/>
    <cellStyle name="Normal 5 2 8 2" xfId="3529" xr:uid="{00000000-0005-0000-0000-000063190000}"/>
    <cellStyle name="Normal 5 2 8 2 2" xfId="7751" xr:uid="{00000000-0005-0000-0000-000064190000}"/>
    <cellStyle name="Normal 5 2 8 2 2 2" xfId="16201" xr:uid="{6AC4E5DB-9252-4A1C-876B-DC7B04390CB0}"/>
    <cellStyle name="Normal 5 2 8 2 2 3" xfId="24641" xr:uid="{0607AF2D-E470-43E4-803F-AA2643DE0529}"/>
    <cellStyle name="Normal 5 2 8 2 3" xfId="11983" xr:uid="{B9FB661A-594D-438A-916B-2A632738D68F}"/>
    <cellStyle name="Normal 5 2 8 2 4" xfId="20424" xr:uid="{0B3A8107-1331-4E42-B507-0856045854B0}"/>
    <cellStyle name="Normal 5 2 8 3" xfId="5606" xr:uid="{00000000-0005-0000-0000-000065190000}"/>
    <cellStyle name="Normal 5 2 8 3 2" xfId="14056" xr:uid="{4D968835-0D30-404A-AC03-4CA26FCC6D8B}"/>
    <cellStyle name="Normal 5 2 8 3 3" xfId="22496" xr:uid="{680F8DAD-3386-4C2C-9B8C-189C4557FE80}"/>
    <cellStyle name="Normal 5 2 8 4" xfId="9838" xr:uid="{1C2328FF-BD80-4385-8B6D-A3A5021C73D0}"/>
    <cellStyle name="Normal 5 2 8 5" xfId="18279" xr:uid="{DD81BE3B-6D2C-491E-A67A-E2A7FE12E4B7}"/>
    <cellStyle name="Normal 5 2 9" xfId="1712" xr:uid="{00000000-0005-0000-0000-000066190000}"/>
    <cellStyle name="Normal 5 2 9 2" xfId="3942" xr:uid="{00000000-0005-0000-0000-000067190000}"/>
    <cellStyle name="Normal 5 2 9 2 2" xfId="8164" xr:uid="{00000000-0005-0000-0000-000068190000}"/>
    <cellStyle name="Normal 5 2 9 2 2 2" xfId="16614" xr:uid="{5EE8FF84-0803-4D4A-A1E7-A9587A3FD3D2}"/>
    <cellStyle name="Normal 5 2 9 2 2 3" xfId="25054" xr:uid="{5AC2C407-AC32-4521-92F3-E274B81D288D}"/>
    <cellStyle name="Normal 5 2 9 2 3" xfId="12396" xr:uid="{D70BE004-4811-4C3E-81DF-C196E9D2F3DC}"/>
    <cellStyle name="Normal 5 2 9 2 4" xfId="20837" xr:uid="{72DD16F3-A271-4C30-B4C0-B4DDFE163D46}"/>
    <cellStyle name="Normal 5 2 9 3" xfId="6019" xr:uid="{00000000-0005-0000-0000-000069190000}"/>
    <cellStyle name="Normal 5 2 9 3 2" xfId="14469" xr:uid="{1DD5F097-14EE-43B1-A085-68A1A31D71F3}"/>
    <cellStyle name="Normal 5 2 9 3 3" xfId="22909" xr:uid="{3C613E0D-2522-4BF4-98A1-3FA02E4BC2AA}"/>
    <cellStyle name="Normal 5 2 9 4" xfId="10251" xr:uid="{A1FFDE3D-3505-441D-9186-E2A83480E9C9}"/>
    <cellStyle name="Normal 5 2 9 5" xfId="18692" xr:uid="{7F0F103F-7065-44B4-A4ED-681B4FDB137A}"/>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5EB8CF78-D0AF-4A31-A3E5-F8E4FA3742ED}"/>
    <cellStyle name="Normal 5 3 10 2 2 3" xfId="25499" xr:uid="{E1FCDE30-30E8-4FC1-A972-07B3B5742A97}"/>
    <cellStyle name="Normal 5 3 10 2 3" xfId="12841" xr:uid="{48576AF0-59B9-4D3F-8AA2-45140EB4C87F}"/>
    <cellStyle name="Normal 5 3 10 2 4" xfId="21282" xr:uid="{6A99D855-4714-4B05-ABC6-35353D2E7254}"/>
    <cellStyle name="Normal 5 3 10 3" xfId="6464" xr:uid="{00000000-0005-0000-0000-00006E190000}"/>
    <cellStyle name="Normal 5 3 10 3 2" xfId="14914" xr:uid="{53F3E350-CC16-4095-8FC3-79E02FB5E1A1}"/>
    <cellStyle name="Normal 5 3 10 3 3" xfId="23354" xr:uid="{6EBAD55B-B52D-44D5-959C-71D121D96424}"/>
    <cellStyle name="Normal 5 3 10 4" xfId="10696" xr:uid="{DD280C51-F68E-4F76-B806-93351DBE08A0}"/>
    <cellStyle name="Normal 5 3 10 5" xfId="19137" xr:uid="{98F2ED86-5819-4C73-A72B-C78D3B14DF67}"/>
    <cellStyle name="Normal 5 3 11" xfId="2594" xr:uid="{00000000-0005-0000-0000-00006F190000}"/>
    <cellStyle name="Normal 5 3 11 2" xfId="6877" xr:uid="{00000000-0005-0000-0000-000070190000}"/>
    <cellStyle name="Normal 5 3 11 2 2" xfId="15327" xr:uid="{3602D421-B566-4373-AA28-2A22C00CAFC0}"/>
    <cellStyle name="Normal 5 3 11 2 3" xfId="23767" xr:uid="{AE4849B5-095E-4B90-B1B8-BF233DA61347}"/>
    <cellStyle name="Normal 5 3 11 3" xfId="11109" xr:uid="{7056F857-52D8-4551-A4D6-5BD0120BB1EA}"/>
    <cellStyle name="Normal 5 3 11 4" xfId="19550" xr:uid="{F2FF92E5-6688-4284-9788-3820FCF7A184}"/>
    <cellStyle name="Normal 5 3 12" xfId="4812" xr:uid="{00000000-0005-0000-0000-000071190000}"/>
    <cellStyle name="Normal 5 3 12 2" xfId="13262" xr:uid="{346634E7-4C59-4F31-8972-5A8CB07A4DBB}"/>
    <cellStyle name="Normal 5 3 12 3" xfId="21702" xr:uid="{25F34C0B-7872-4E91-9A48-81464E3F7238}"/>
    <cellStyle name="Normal 5 3 13" xfId="9044" xr:uid="{E3042A12-E273-4868-8D05-41FAB0ADB9C5}"/>
    <cellStyle name="Normal 5 3 14" xfId="17485" xr:uid="{58191CAE-12E7-4CD2-9E66-BFBD58FFD84E}"/>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08C9F7CC-DE60-4FD2-922F-C51F7441BA1D}"/>
    <cellStyle name="Normal 5 3 3 10 3" xfId="21703" xr:uid="{75279F99-046A-42A6-BAFF-DAB45A9B561A}"/>
    <cellStyle name="Normal 5 3 3 11" xfId="9045" xr:uid="{B6C6D2BA-CA5E-4EB4-BEF5-5A80076E3F43}"/>
    <cellStyle name="Normal 5 3 3 12" xfId="17486" xr:uid="{43E0B06D-5565-40DB-AB45-84B4C0918FC1}"/>
    <cellStyle name="Normal 5 3 3 2" xfId="442" xr:uid="{00000000-0005-0000-0000-000076190000}"/>
    <cellStyle name="Normal 5 3 3 2 10" xfId="9046" xr:uid="{0857A8C2-CEF9-46EF-8670-2AB9A338EE3A}"/>
    <cellStyle name="Normal 5 3 3 2 11" xfId="17487" xr:uid="{C0DAD53E-E39E-4C54-BA06-CE6895E2C23B}"/>
    <cellStyle name="Normal 5 3 3 2 2" xfId="443" xr:uid="{00000000-0005-0000-0000-000077190000}"/>
    <cellStyle name="Normal 5 3 3 2 2 10" xfId="17488" xr:uid="{548DC199-F009-4C72-A9A8-D97EA6B9AB6F}"/>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A4E955D9-E546-48EA-936A-5BA7EC5764E4}"/>
    <cellStyle name="Normal 5 3 3 2 2 2 2 2 2 3" xfId="24264" xr:uid="{E9A4152D-D6A3-4546-8452-39BDA3B0E3F9}"/>
    <cellStyle name="Normal 5 3 3 2 2 2 2 2 3" xfId="11606" xr:uid="{38BE8C51-35BE-4916-9960-A33AC213F9E0}"/>
    <cellStyle name="Normal 5 3 3 2 2 2 2 2 4" xfId="20047" xr:uid="{BDE04178-6CE7-4918-8248-09BD79DC163B}"/>
    <cellStyle name="Normal 5 3 3 2 2 2 2 3" xfId="5229" xr:uid="{00000000-0005-0000-0000-00007C190000}"/>
    <cellStyle name="Normal 5 3 3 2 2 2 2 3 2" xfId="13679" xr:uid="{787B1DAB-A5CB-43B8-AC4F-C6C2C52E124E}"/>
    <cellStyle name="Normal 5 3 3 2 2 2 2 3 3" xfId="22119" xr:uid="{70756C7D-F657-421C-A745-96824690A1D4}"/>
    <cellStyle name="Normal 5 3 3 2 2 2 2 4" xfId="9461" xr:uid="{F458CA52-5A97-4B8D-9D5C-1D5F19107D15}"/>
    <cellStyle name="Normal 5 3 3 2 2 2 2 5" xfId="17902" xr:uid="{F9FE4C91-1B4C-4050-B39F-21967180D30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1D901FCB-516B-4B1F-80ED-A459D9FF7DD3}"/>
    <cellStyle name="Normal 5 3 3 2 2 2 3 2 2 3" xfId="24677" xr:uid="{93123452-85BA-4C05-91FE-C2FEC626487A}"/>
    <cellStyle name="Normal 5 3 3 2 2 2 3 2 3" xfId="12019" xr:uid="{CCD2544F-DA9A-459B-9D26-234F538F02DB}"/>
    <cellStyle name="Normal 5 3 3 2 2 2 3 2 4" xfId="20460" xr:uid="{5DEED884-2B09-4C29-A8A7-18AC8A9BD88C}"/>
    <cellStyle name="Normal 5 3 3 2 2 2 3 3" xfId="5642" xr:uid="{00000000-0005-0000-0000-000080190000}"/>
    <cellStyle name="Normal 5 3 3 2 2 2 3 3 2" xfId="14092" xr:uid="{999BA7EA-8672-4041-8483-6C53400D59C0}"/>
    <cellStyle name="Normal 5 3 3 2 2 2 3 3 3" xfId="22532" xr:uid="{E338CEFC-5832-4CDA-ACE4-E0AB01E9E45D}"/>
    <cellStyle name="Normal 5 3 3 2 2 2 3 4" xfId="9874" xr:uid="{5D029351-29DC-4823-B22B-48D246F90A0F}"/>
    <cellStyle name="Normal 5 3 3 2 2 2 3 5" xfId="18315" xr:uid="{F550F7CA-438D-4E25-A6B5-BC428B3394F9}"/>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0183F836-D75A-48C3-9679-4CECB32A69C5}"/>
    <cellStyle name="Normal 5 3 3 2 2 2 4 2 2 3" xfId="25090" xr:uid="{AB0F9D0D-5366-41AE-9008-2C38AA64DA4B}"/>
    <cellStyle name="Normal 5 3 3 2 2 2 4 2 3" xfId="12432" xr:uid="{6BF50BA9-1091-404C-9B76-05EE977A9762}"/>
    <cellStyle name="Normal 5 3 3 2 2 2 4 2 4" xfId="20873" xr:uid="{82313F40-A02E-4CA3-B202-FF8CCCF13152}"/>
    <cellStyle name="Normal 5 3 3 2 2 2 4 3" xfId="6055" xr:uid="{00000000-0005-0000-0000-000084190000}"/>
    <cellStyle name="Normal 5 3 3 2 2 2 4 3 2" xfId="14505" xr:uid="{78897D91-3D7C-4C0B-A628-C1DCD66B747C}"/>
    <cellStyle name="Normal 5 3 3 2 2 2 4 3 3" xfId="22945" xr:uid="{673CF4F5-49EC-4A36-AAF2-968F5059B030}"/>
    <cellStyle name="Normal 5 3 3 2 2 2 4 4" xfId="10287" xr:uid="{663525C2-DCDA-4D9D-9E02-B3F95BEE7466}"/>
    <cellStyle name="Normal 5 3 3 2 2 2 4 5" xfId="18728" xr:uid="{15A08FAE-D17A-495E-8174-656FF251F5C1}"/>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3AD3567E-D247-4A4E-93D0-9365821B0F4F}"/>
    <cellStyle name="Normal 5 3 3 2 2 2 5 2 2 3" xfId="25503" xr:uid="{3C76498C-448D-4588-960C-189305B0E88E}"/>
    <cellStyle name="Normal 5 3 3 2 2 2 5 2 3" xfId="12845" xr:uid="{8446DE4E-F7AF-4F0C-B552-583A61023A2B}"/>
    <cellStyle name="Normal 5 3 3 2 2 2 5 2 4" xfId="21286" xr:uid="{790756BA-BA0F-414D-8013-C5C921A9FDC6}"/>
    <cellStyle name="Normal 5 3 3 2 2 2 5 3" xfId="6468" xr:uid="{00000000-0005-0000-0000-000088190000}"/>
    <cellStyle name="Normal 5 3 3 2 2 2 5 3 2" xfId="14918" xr:uid="{339FAF99-9DFE-44CE-B211-6F0597ACEDD8}"/>
    <cellStyle name="Normal 5 3 3 2 2 2 5 3 3" xfId="23358" xr:uid="{C33A6598-43B3-4438-8CCC-C59E3EDADC76}"/>
    <cellStyle name="Normal 5 3 3 2 2 2 5 4" xfId="10700" xr:uid="{D9C89A38-1C40-4647-976C-697A9A7DF91E}"/>
    <cellStyle name="Normal 5 3 3 2 2 2 5 5" xfId="19141" xr:uid="{98A5FFEC-609E-413B-9B00-84E709DC5CC7}"/>
    <cellStyle name="Normal 5 3 3 2 2 2 6" xfId="2598" xr:uid="{00000000-0005-0000-0000-000089190000}"/>
    <cellStyle name="Normal 5 3 3 2 2 2 6 2" xfId="6881" xr:uid="{00000000-0005-0000-0000-00008A190000}"/>
    <cellStyle name="Normal 5 3 3 2 2 2 6 2 2" xfId="15331" xr:uid="{4B079A7A-CBDA-438B-9297-3FC79262D450}"/>
    <cellStyle name="Normal 5 3 3 2 2 2 6 2 3" xfId="23771" xr:uid="{DF654BFE-3E31-4E5A-A3DB-8FC275ECB35D}"/>
    <cellStyle name="Normal 5 3 3 2 2 2 6 3" xfId="11113" xr:uid="{7A6C84C1-B79F-428D-9289-29F6E1F6096C}"/>
    <cellStyle name="Normal 5 3 3 2 2 2 6 4" xfId="19554" xr:uid="{F4D956D0-AB60-45DD-BAF6-E54C4830B85B}"/>
    <cellStyle name="Normal 5 3 3 2 2 2 7" xfId="4816" xr:uid="{00000000-0005-0000-0000-00008B190000}"/>
    <cellStyle name="Normal 5 3 3 2 2 2 7 2" xfId="13266" xr:uid="{BDB9A40C-2FB8-4888-AD2B-3F8881B80F52}"/>
    <cellStyle name="Normal 5 3 3 2 2 2 7 3" xfId="21706" xr:uid="{91BA7BDC-E4D0-495C-AF6C-D0D2CC5C2EE2}"/>
    <cellStyle name="Normal 5 3 3 2 2 2 8" xfId="9048" xr:uid="{43DEE849-AF79-4067-82C4-357E683A8EA6}"/>
    <cellStyle name="Normal 5 3 3 2 2 2 9" xfId="17489" xr:uid="{43EED35B-16CB-4BE9-9EB4-47431A9DC654}"/>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1D0A5817-9451-4098-9377-9A03E1D23858}"/>
    <cellStyle name="Normal 5 3 3 2 2 3 2 2 3" xfId="24263" xr:uid="{F2BA6674-1277-4D28-9132-3D51F2E52247}"/>
    <cellStyle name="Normal 5 3 3 2 2 3 2 3" xfId="11605" xr:uid="{B72E79C2-2E1F-415B-8980-67B417324BBB}"/>
    <cellStyle name="Normal 5 3 3 2 2 3 2 4" xfId="20046" xr:uid="{D1293973-0198-4ED9-B405-8FA0A2B19574}"/>
    <cellStyle name="Normal 5 3 3 2 2 3 3" xfId="5228" xr:uid="{00000000-0005-0000-0000-00008F190000}"/>
    <cellStyle name="Normal 5 3 3 2 2 3 3 2" xfId="13678" xr:uid="{FFE20ADE-D74B-44F4-A9E1-E1E4902C66E0}"/>
    <cellStyle name="Normal 5 3 3 2 2 3 3 3" xfId="22118" xr:uid="{1A32AF22-E8D6-4231-A5A9-27D41E9B1609}"/>
    <cellStyle name="Normal 5 3 3 2 2 3 4" xfId="9460" xr:uid="{BE37F693-609C-4AB3-A544-9909C3FDD371}"/>
    <cellStyle name="Normal 5 3 3 2 2 3 5" xfId="17901" xr:uid="{EF0DE08F-3743-4C92-9465-308E7F488221}"/>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40EAB8F6-2BFA-4DF4-B776-BB7305CC053E}"/>
    <cellStyle name="Normal 5 3 3 2 2 4 2 2 3" xfId="24676" xr:uid="{02DA9D84-C111-4608-8E84-B91436F77307}"/>
    <cellStyle name="Normal 5 3 3 2 2 4 2 3" xfId="12018" xr:uid="{3AA3A6C3-191D-4FD0-A1EC-CE5816422549}"/>
    <cellStyle name="Normal 5 3 3 2 2 4 2 4" xfId="20459" xr:uid="{8A60D09A-5210-4B20-B9C6-F04B1550EE1A}"/>
    <cellStyle name="Normal 5 3 3 2 2 4 3" xfId="5641" xr:uid="{00000000-0005-0000-0000-000093190000}"/>
    <cellStyle name="Normal 5 3 3 2 2 4 3 2" xfId="14091" xr:uid="{C7EDF045-3AA6-4E05-9DBE-67016297150A}"/>
    <cellStyle name="Normal 5 3 3 2 2 4 3 3" xfId="22531" xr:uid="{F89269D8-877E-4254-B7FA-DB7CCCFA8147}"/>
    <cellStyle name="Normal 5 3 3 2 2 4 4" xfId="9873" xr:uid="{D9A370B2-5767-4D62-B89C-52AAD3C17537}"/>
    <cellStyle name="Normal 5 3 3 2 2 4 5" xfId="18314" xr:uid="{690D8B67-837B-4932-95E8-C9C21F7BAE96}"/>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01E5651B-8504-4B9D-A9D5-F82DBC994C02}"/>
    <cellStyle name="Normal 5 3 3 2 2 5 2 2 3" xfId="25089" xr:uid="{062866B3-6227-4ADE-A72E-39CFE7387F9A}"/>
    <cellStyle name="Normal 5 3 3 2 2 5 2 3" xfId="12431" xr:uid="{F52031A0-9CEE-4FF2-8F03-CD1B8226CC2C}"/>
    <cellStyle name="Normal 5 3 3 2 2 5 2 4" xfId="20872" xr:uid="{99125B38-65B9-4CFD-908D-DAE2B6EB5180}"/>
    <cellStyle name="Normal 5 3 3 2 2 5 3" xfId="6054" xr:uid="{00000000-0005-0000-0000-000097190000}"/>
    <cellStyle name="Normal 5 3 3 2 2 5 3 2" xfId="14504" xr:uid="{5FB5303C-2755-4F67-BE2B-1C925C625AD6}"/>
    <cellStyle name="Normal 5 3 3 2 2 5 3 3" xfId="22944" xr:uid="{5721591F-2EDF-4EC2-A235-F16CAED90257}"/>
    <cellStyle name="Normal 5 3 3 2 2 5 4" xfId="10286" xr:uid="{7B34A52C-0F48-4624-B7B2-1CAB29031BD8}"/>
    <cellStyle name="Normal 5 3 3 2 2 5 5" xfId="18727" xr:uid="{ACAF1A64-C8DF-487F-85E6-1375D0540C6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B2E2B575-8E6F-4474-ABF8-66BA79B0C8AF}"/>
    <cellStyle name="Normal 5 3 3 2 2 6 2 2 3" xfId="25502" xr:uid="{92F9A31D-66BC-4984-8792-1DEA1CF077AE}"/>
    <cellStyle name="Normal 5 3 3 2 2 6 2 3" xfId="12844" xr:uid="{EE71E204-0ADB-4F8A-BD9A-C6912F2A4755}"/>
    <cellStyle name="Normal 5 3 3 2 2 6 2 4" xfId="21285" xr:uid="{66F68463-D0EB-45DA-A7D6-2EC635FE30B3}"/>
    <cellStyle name="Normal 5 3 3 2 2 6 3" xfId="6467" xr:uid="{00000000-0005-0000-0000-00009B190000}"/>
    <cellStyle name="Normal 5 3 3 2 2 6 3 2" xfId="14917" xr:uid="{C9317E95-11A6-4CCD-8781-E1163D2F8D0B}"/>
    <cellStyle name="Normal 5 3 3 2 2 6 3 3" xfId="23357" xr:uid="{81EDA2A7-AD02-44B9-860C-D2B5A5FB7B7B}"/>
    <cellStyle name="Normal 5 3 3 2 2 6 4" xfId="10699" xr:uid="{890267A4-096F-4B94-9BE8-4EDAC909B49C}"/>
    <cellStyle name="Normal 5 3 3 2 2 6 5" xfId="19140" xr:uid="{FEDEF5C5-DE02-4329-B0E0-C93307A6EDED}"/>
    <cellStyle name="Normal 5 3 3 2 2 7" xfId="2597" xr:uid="{00000000-0005-0000-0000-00009C190000}"/>
    <cellStyle name="Normal 5 3 3 2 2 7 2" xfId="6880" xr:uid="{00000000-0005-0000-0000-00009D190000}"/>
    <cellStyle name="Normal 5 3 3 2 2 7 2 2" xfId="15330" xr:uid="{BD3890ED-D009-48A4-8274-0EEAE34CFC0D}"/>
    <cellStyle name="Normal 5 3 3 2 2 7 2 3" xfId="23770" xr:uid="{E1272D7A-1530-47B5-9166-48F443767E93}"/>
    <cellStyle name="Normal 5 3 3 2 2 7 3" xfId="11112" xr:uid="{9AC7FB48-FB12-4D63-8CFC-E665F8094CA5}"/>
    <cellStyle name="Normal 5 3 3 2 2 7 4" xfId="19553" xr:uid="{DA8FA6B9-22DA-4485-B2A9-87D6360C5D00}"/>
    <cellStyle name="Normal 5 3 3 2 2 8" xfId="4815" xr:uid="{00000000-0005-0000-0000-00009E190000}"/>
    <cellStyle name="Normal 5 3 3 2 2 8 2" xfId="13265" xr:uid="{B6786704-B961-49D9-BB9C-99ED4AB0CBE5}"/>
    <cellStyle name="Normal 5 3 3 2 2 8 3" xfId="21705" xr:uid="{C19BE21A-6600-429A-9CC5-2E170CD5A800}"/>
    <cellStyle name="Normal 5 3 3 2 2 9" xfId="9047" xr:uid="{98F29EAA-2521-4C54-8DDA-DB6F312A78F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D67B9018-3F29-4743-967F-941D7970F1C5}"/>
    <cellStyle name="Normal 5 3 3 2 3 2 2 2 3" xfId="24265" xr:uid="{C434F0B8-D055-434E-BC67-5745856ADAD3}"/>
    <cellStyle name="Normal 5 3 3 2 3 2 2 3" xfId="11607" xr:uid="{FF9A25FD-6722-4091-8B30-3DD30E6AD2B4}"/>
    <cellStyle name="Normal 5 3 3 2 3 2 2 4" xfId="20048" xr:uid="{85551F98-DA1C-493A-9590-34EF1BCE5282}"/>
    <cellStyle name="Normal 5 3 3 2 3 2 3" xfId="5230" xr:uid="{00000000-0005-0000-0000-0000A3190000}"/>
    <cellStyle name="Normal 5 3 3 2 3 2 3 2" xfId="13680" xr:uid="{0D2091A5-17F6-4517-ADEA-59F96BD001BF}"/>
    <cellStyle name="Normal 5 3 3 2 3 2 3 3" xfId="22120" xr:uid="{F17734DD-2528-42FA-9FA2-005E2259BCD9}"/>
    <cellStyle name="Normal 5 3 3 2 3 2 4" xfId="9462" xr:uid="{7E990AE7-0B01-4C17-8C5D-963AA0A371D6}"/>
    <cellStyle name="Normal 5 3 3 2 3 2 5" xfId="17903" xr:uid="{AD0E69F4-2EBD-465A-9166-FE95B3F3A55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C60322B4-21A7-4447-83FA-BD0BD310EDAA}"/>
    <cellStyle name="Normal 5 3 3 2 3 3 2 2 3" xfId="24678" xr:uid="{5939212D-BB1F-4D93-824C-6A7E14F51ABF}"/>
    <cellStyle name="Normal 5 3 3 2 3 3 2 3" xfId="12020" xr:uid="{9E221BA5-C44F-486C-B2F1-8F71C12DFB32}"/>
    <cellStyle name="Normal 5 3 3 2 3 3 2 4" xfId="20461" xr:uid="{9BD34DD2-71A8-48E6-A138-7E57245DAB7D}"/>
    <cellStyle name="Normal 5 3 3 2 3 3 3" xfId="5643" xr:uid="{00000000-0005-0000-0000-0000A7190000}"/>
    <cellStyle name="Normal 5 3 3 2 3 3 3 2" xfId="14093" xr:uid="{59D148F6-B6BC-4279-A827-4008A72EA74C}"/>
    <cellStyle name="Normal 5 3 3 2 3 3 3 3" xfId="22533" xr:uid="{98951946-E515-4580-A855-C12D9D7108EA}"/>
    <cellStyle name="Normal 5 3 3 2 3 3 4" xfId="9875" xr:uid="{2A58C406-EDC6-42C3-9FCA-01E0B5149396}"/>
    <cellStyle name="Normal 5 3 3 2 3 3 5" xfId="18316" xr:uid="{4E3C2739-4122-40FA-A291-82117922194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CA66E30C-A725-4054-A2D9-3D562C8CCD48}"/>
    <cellStyle name="Normal 5 3 3 2 3 4 2 2 3" xfId="25091" xr:uid="{308077A0-E2CB-4D5E-9CE1-C86ACBF89692}"/>
    <cellStyle name="Normal 5 3 3 2 3 4 2 3" xfId="12433" xr:uid="{09C50752-0DF6-4DAA-89AD-4EB61B6F9151}"/>
    <cellStyle name="Normal 5 3 3 2 3 4 2 4" xfId="20874" xr:uid="{70BEC787-67E7-4BA8-8CE1-BAC0065F395E}"/>
    <cellStyle name="Normal 5 3 3 2 3 4 3" xfId="6056" xr:uid="{00000000-0005-0000-0000-0000AB190000}"/>
    <cellStyle name="Normal 5 3 3 2 3 4 3 2" xfId="14506" xr:uid="{8217C8D9-5F4D-4EF6-A64A-AAC185833CED}"/>
    <cellStyle name="Normal 5 3 3 2 3 4 3 3" xfId="22946" xr:uid="{04F1AC7A-285A-4EF5-AAFE-366867EA350B}"/>
    <cellStyle name="Normal 5 3 3 2 3 4 4" xfId="10288" xr:uid="{57FD125B-B8FA-4C5E-97AD-842B74EE0D63}"/>
    <cellStyle name="Normal 5 3 3 2 3 4 5" xfId="18729" xr:uid="{D0D9AC20-0633-4360-BDF8-F5CB4776D47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4B13B4B9-1E15-4D61-930D-8B8CE7AB2830}"/>
    <cellStyle name="Normal 5 3 3 2 3 5 2 2 3" xfId="25504" xr:uid="{978A3B5C-D818-4858-8EC9-91076EF98C3A}"/>
    <cellStyle name="Normal 5 3 3 2 3 5 2 3" xfId="12846" xr:uid="{43952A8D-CC06-41D2-958E-C6FDC02E4B2F}"/>
    <cellStyle name="Normal 5 3 3 2 3 5 2 4" xfId="21287" xr:uid="{D023BA77-EA1A-404D-89CC-91A5BE017B78}"/>
    <cellStyle name="Normal 5 3 3 2 3 5 3" xfId="6469" xr:uid="{00000000-0005-0000-0000-0000AF190000}"/>
    <cellStyle name="Normal 5 3 3 2 3 5 3 2" xfId="14919" xr:uid="{00280E19-55CF-4638-A03B-60BA0EBEF9D0}"/>
    <cellStyle name="Normal 5 3 3 2 3 5 3 3" xfId="23359" xr:uid="{FD1D8507-DA0E-4969-AAC6-5F9EA8AFF6D2}"/>
    <cellStyle name="Normal 5 3 3 2 3 5 4" xfId="10701" xr:uid="{8F37A8C8-282F-4AF9-A62D-0A968A544766}"/>
    <cellStyle name="Normal 5 3 3 2 3 5 5" xfId="19142" xr:uid="{BC37B73F-693E-4B17-8315-C37D4C661B4C}"/>
    <cellStyle name="Normal 5 3 3 2 3 6" xfId="2599" xr:uid="{00000000-0005-0000-0000-0000B0190000}"/>
    <cellStyle name="Normal 5 3 3 2 3 6 2" xfId="6882" xr:uid="{00000000-0005-0000-0000-0000B1190000}"/>
    <cellStyle name="Normal 5 3 3 2 3 6 2 2" xfId="15332" xr:uid="{66035AA9-F7A6-40AF-A3A0-44ED96D93217}"/>
    <cellStyle name="Normal 5 3 3 2 3 6 2 3" xfId="23772" xr:uid="{B554015A-496A-4493-A8F1-75CD069D0030}"/>
    <cellStyle name="Normal 5 3 3 2 3 6 3" xfId="11114" xr:uid="{9AD0F3CE-ED21-46CE-BFFD-76FFDDC8419B}"/>
    <cellStyle name="Normal 5 3 3 2 3 6 4" xfId="19555" xr:uid="{43725D58-90FB-42BA-A682-73733CA4E31F}"/>
    <cellStyle name="Normal 5 3 3 2 3 7" xfId="4817" xr:uid="{00000000-0005-0000-0000-0000B2190000}"/>
    <cellStyle name="Normal 5 3 3 2 3 7 2" xfId="13267" xr:uid="{65E249CB-2275-4491-AB85-E0418F7B2CB5}"/>
    <cellStyle name="Normal 5 3 3 2 3 7 3" xfId="21707" xr:uid="{E32A2563-3135-4AB6-A941-0C0BE801A623}"/>
    <cellStyle name="Normal 5 3 3 2 3 8" xfId="9049" xr:uid="{B8361C0D-D899-45A4-B975-5FD6932F05DD}"/>
    <cellStyle name="Normal 5 3 3 2 3 9" xfId="17490" xr:uid="{0693DE4B-81E6-43D1-BF93-986D81A92BFB}"/>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8AE5A6DC-3DF2-43E7-B6B0-6BB7D80C9E2E}"/>
    <cellStyle name="Normal 5 3 3 2 4 2 2 3" xfId="24262" xr:uid="{A20F738D-D7C3-4613-B6F5-9A3BD0A494F8}"/>
    <cellStyle name="Normal 5 3 3 2 4 2 3" xfId="11604" xr:uid="{78BD3F00-1C59-4FDC-861A-2116CF8C6FF2}"/>
    <cellStyle name="Normal 5 3 3 2 4 2 4" xfId="20045" xr:uid="{0F141CC4-4F2A-4E5A-B903-DEFED93438E5}"/>
    <cellStyle name="Normal 5 3 3 2 4 3" xfId="5227" xr:uid="{00000000-0005-0000-0000-0000B6190000}"/>
    <cellStyle name="Normal 5 3 3 2 4 3 2" xfId="13677" xr:uid="{F0A079A6-18A4-4F38-BC9A-ED274BB175AC}"/>
    <cellStyle name="Normal 5 3 3 2 4 3 3" xfId="22117" xr:uid="{0652FD19-4D26-4762-B84D-324BA0B8FD5C}"/>
    <cellStyle name="Normal 5 3 3 2 4 4" xfId="9459" xr:uid="{2889A9C1-35E6-40A1-A585-C4728CBF1400}"/>
    <cellStyle name="Normal 5 3 3 2 4 5" xfId="17900" xr:uid="{B2FF9CF5-989C-4056-BC3C-C2D6E15AF6B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14ADE934-80AF-4B72-BC9B-F621D5F8F2EF}"/>
    <cellStyle name="Normal 5 3 3 2 5 2 2 3" xfId="24675" xr:uid="{F0BFF7DF-215B-4A06-A220-138A8B4CE1B6}"/>
    <cellStyle name="Normal 5 3 3 2 5 2 3" xfId="12017" xr:uid="{D522C9FF-0F98-45A0-A8C6-41B0EA292542}"/>
    <cellStyle name="Normal 5 3 3 2 5 2 4" xfId="20458" xr:uid="{2F32BB3D-0E98-40C6-B33C-F61E009CDBB0}"/>
    <cellStyle name="Normal 5 3 3 2 5 3" xfId="5640" xr:uid="{00000000-0005-0000-0000-0000BA190000}"/>
    <cellStyle name="Normal 5 3 3 2 5 3 2" xfId="14090" xr:uid="{08B65A54-AA9B-431C-B025-510F3E9E9D4A}"/>
    <cellStyle name="Normal 5 3 3 2 5 3 3" xfId="22530" xr:uid="{5561968A-C812-403B-B21C-DBFC9A4FDA96}"/>
    <cellStyle name="Normal 5 3 3 2 5 4" xfId="9872" xr:uid="{450BE4C7-3677-4A96-BAAF-7A730F78BAF1}"/>
    <cellStyle name="Normal 5 3 3 2 5 5" xfId="18313" xr:uid="{2D896F9C-8375-4FA1-9996-C92595FC7DBA}"/>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8A8FB669-BD4D-4279-A902-3EF399E4ADA8}"/>
    <cellStyle name="Normal 5 3 3 2 6 2 2 3" xfId="25088" xr:uid="{189B6198-49D9-4733-8A25-AB8ECEE0A38B}"/>
    <cellStyle name="Normal 5 3 3 2 6 2 3" xfId="12430" xr:uid="{24D44588-9E5A-45CB-AFFF-B6C79738F0E8}"/>
    <cellStyle name="Normal 5 3 3 2 6 2 4" xfId="20871" xr:uid="{EFE8807F-2945-459D-9C10-3BD9ECE40838}"/>
    <cellStyle name="Normal 5 3 3 2 6 3" xfId="6053" xr:uid="{00000000-0005-0000-0000-0000BE190000}"/>
    <cellStyle name="Normal 5 3 3 2 6 3 2" xfId="14503" xr:uid="{45B89A9B-1F33-4E44-8719-8E964712B7BB}"/>
    <cellStyle name="Normal 5 3 3 2 6 3 3" xfId="22943" xr:uid="{443AD91F-BE34-4AFF-9CA0-3B0DB6661F77}"/>
    <cellStyle name="Normal 5 3 3 2 6 4" xfId="10285" xr:uid="{021040AC-B5D9-4202-8850-7FD42144C51B}"/>
    <cellStyle name="Normal 5 3 3 2 6 5" xfId="18726" xr:uid="{516A35A4-0D54-4402-97D7-E21BDCF57DA1}"/>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453A9B16-053A-4018-A2D0-0CBAE49C6FC7}"/>
    <cellStyle name="Normal 5 3 3 2 7 2 2 3" xfId="25501" xr:uid="{A415A0EC-2385-4CDC-B6FB-A5BC6718B777}"/>
    <cellStyle name="Normal 5 3 3 2 7 2 3" xfId="12843" xr:uid="{58248D60-6CA5-4777-8F1C-1983FEBE9CA2}"/>
    <cellStyle name="Normal 5 3 3 2 7 2 4" xfId="21284" xr:uid="{1F46F73B-54B5-418E-AA47-749C88B5219C}"/>
    <cellStyle name="Normal 5 3 3 2 7 3" xfId="6466" xr:uid="{00000000-0005-0000-0000-0000C2190000}"/>
    <cellStyle name="Normal 5 3 3 2 7 3 2" xfId="14916" xr:uid="{1D10AA56-296D-4AAF-AFF7-298FF022924B}"/>
    <cellStyle name="Normal 5 3 3 2 7 3 3" xfId="23356" xr:uid="{AA298979-7FE7-4387-B96E-97A84D82381D}"/>
    <cellStyle name="Normal 5 3 3 2 7 4" xfId="10698" xr:uid="{0120E32F-A87C-49FD-882B-C65A220F0422}"/>
    <cellStyle name="Normal 5 3 3 2 7 5" xfId="19139" xr:uid="{D1A5DCB9-665F-4F67-A6E1-3FBD7F515283}"/>
    <cellStyle name="Normal 5 3 3 2 8" xfId="2596" xr:uid="{00000000-0005-0000-0000-0000C3190000}"/>
    <cellStyle name="Normal 5 3 3 2 8 2" xfId="6879" xr:uid="{00000000-0005-0000-0000-0000C4190000}"/>
    <cellStyle name="Normal 5 3 3 2 8 2 2" xfId="15329" xr:uid="{878BBCE4-BB07-4A52-8B02-225171C9883E}"/>
    <cellStyle name="Normal 5 3 3 2 8 2 3" xfId="23769" xr:uid="{38842C00-2673-45D9-AAAC-C1F77417CB97}"/>
    <cellStyle name="Normal 5 3 3 2 8 3" xfId="11111" xr:uid="{9AF2F5C8-37D2-4E57-BFB1-7528E2D939DB}"/>
    <cellStyle name="Normal 5 3 3 2 8 4" xfId="19552" xr:uid="{18F3C645-90AA-432E-A3AF-F5EFBB08BDC1}"/>
    <cellStyle name="Normal 5 3 3 2 9" xfId="4814" xr:uid="{00000000-0005-0000-0000-0000C5190000}"/>
    <cellStyle name="Normal 5 3 3 2 9 2" xfId="13264" xr:uid="{85679DB7-AD70-4636-B2D7-E6BEAAEC5EB5}"/>
    <cellStyle name="Normal 5 3 3 2 9 3" xfId="21704" xr:uid="{62C78837-4437-41E6-B874-D188DA6D10E4}"/>
    <cellStyle name="Normal 5 3 3 3" xfId="446" xr:uid="{00000000-0005-0000-0000-0000C6190000}"/>
    <cellStyle name="Normal 5 3 3 3 10" xfId="17491" xr:uid="{882AB395-8EE4-4E54-951D-AC8BF80EC0DC}"/>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AC751D31-BFAC-4DE3-9925-51FFA7C094EB}"/>
    <cellStyle name="Normal 5 3 3 3 2 2 2 2 3" xfId="24267" xr:uid="{4CC995BC-2ADA-4772-AFA9-D2F7D5BDB7C9}"/>
    <cellStyle name="Normal 5 3 3 3 2 2 2 3" xfId="11609" xr:uid="{4B63AAB3-2615-41A9-96AD-848904859189}"/>
    <cellStyle name="Normal 5 3 3 3 2 2 2 4" xfId="20050" xr:uid="{011CFD46-CC4F-4F18-AD09-FC199AF694EE}"/>
    <cellStyle name="Normal 5 3 3 3 2 2 3" xfId="5232" xr:uid="{00000000-0005-0000-0000-0000CB190000}"/>
    <cellStyle name="Normal 5 3 3 3 2 2 3 2" xfId="13682" xr:uid="{B263162C-0646-40C2-9230-0FD4ADF24831}"/>
    <cellStyle name="Normal 5 3 3 3 2 2 3 3" xfId="22122" xr:uid="{D766B14F-10E1-42A7-8BF3-7EB13FEE59BA}"/>
    <cellStyle name="Normal 5 3 3 3 2 2 4" xfId="9464" xr:uid="{F8EC821A-4236-46D2-B309-33BA5E78C9C3}"/>
    <cellStyle name="Normal 5 3 3 3 2 2 5" xfId="17905" xr:uid="{68C2073B-EE7E-4FE0-B714-A9DE86939059}"/>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1792DD23-4EDA-40DD-BCD9-12887E82A2BB}"/>
    <cellStyle name="Normal 5 3 3 3 2 3 2 2 3" xfId="24680" xr:uid="{A58AD277-1000-45FD-9328-98AC910C4144}"/>
    <cellStyle name="Normal 5 3 3 3 2 3 2 3" xfId="12022" xr:uid="{25C61E8D-81FA-4187-BF71-72E410EC93CA}"/>
    <cellStyle name="Normal 5 3 3 3 2 3 2 4" xfId="20463" xr:uid="{E4C3CDA8-E0B0-4BDD-BC14-228B9BE83411}"/>
    <cellStyle name="Normal 5 3 3 3 2 3 3" xfId="5645" xr:uid="{00000000-0005-0000-0000-0000CF190000}"/>
    <cellStyle name="Normal 5 3 3 3 2 3 3 2" xfId="14095" xr:uid="{FB93A2D2-4912-4A16-B0AE-8ED3448C295A}"/>
    <cellStyle name="Normal 5 3 3 3 2 3 3 3" xfId="22535" xr:uid="{D427F6C9-84CC-4CAF-B753-0EF56F0BCFB1}"/>
    <cellStyle name="Normal 5 3 3 3 2 3 4" xfId="9877" xr:uid="{126D1953-2E23-43DB-BAED-A8CBCD91F5B4}"/>
    <cellStyle name="Normal 5 3 3 3 2 3 5" xfId="18318" xr:uid="{1FDCC4C5-EAD3-44D4-BD4B-4C3803836477}"/>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E96D57DF-63A1-44E9-9E0E-D037679F463E}"/>
    <cellStyle name="Normal 5 3 3 3 2 4 2 2 3" xfId="25093" xr:uid="{5E5913F1-FE18-4EF3-A1E2-9EEB39BF49BC}"/>
    <cellStyle name="Normal 5 3 3 3 2 4 2 3" xfId="12435" xr:uid="{B0A8D627-9AA7-411A-AC05-57A92FBE71CA}"/>
    <cellStyle name="Normal 5 3 3 3 2 4 2 4" xfId="20876" xr:uid="{5B32E92B-AC35-4093-8A8E-395992650D32}"/>
    <cellStyle name="Normal 5 3 3 3 2 4 3" xfId="6058" xr:uid="{00000000-0005-0000-0000-0000D3190000}"/>
    <cellStyle name="Normal 5 3 3 3 2 4 3 2" xfId="14508" xr:uid="{9234F0CA-5A96-49E1-B8CF-16675C657111}"/>
    <cellStyle name="Normal 5 3 3 3 2 4 3 3" xfId="22948" xr:uid="{D65EA2B9-60EF-44B0-8A6F-1C654DD3CF1B}"/>
    <cellStyle name="Normal 5 3 3 3 2 4 4" xfId="10290" xr:uid="{2F117A94-02DC-4300-9662-922F244C79AE}"/>
    <cellStyle name="Normal 5 3 3 3 2 4 5" xfId="18731" xr:uid="{6035373D-D99D-44AC-BC54-2AAB9C72D543}"/>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4D0E05FA-CD41-4A4D-AAF0-F8B312DF41D8}"/>
    <cellStyle name="Normal 5 3 3 3 2 5 2 2 3" xfId="25506" xr:uid="{FE8A4BF8-0171-47B3-8052-B176050D4427}"/>
    <cellStyle name="Normal 5 3 3 3 2 5 2 3" xfId="12848" xr:uid="{529A1938-EB6D-4A97-A44E-B0687050C2B4}"/>
    <cellStyle name="Normal 5 3 3 3 2 5 2 4" xfId="21289" xr:uid="{C0604722-E2B4-4477-9C90-503A9624C1BB}"/>
    <cellStyle name="Normal 5 3 3 3 2 5 3" xfId="6471" xr:uid="{00000000-0005-0000-0000-0000D7190000}"/>
    <cellStyle name="Normal 5 3 3 3 2 5 3 2" xfId="14921" xr:uid="{9879E2BB-3D9A-4C77-847D-035CA3B6F8D7}"/>
    <cellStyle name="Normal 5 3 3 3 2 5 3 3" xfId="23361" xr:uid="{57305B3B-6C6D-4E25-8102-592264E874C0}"/>
    <cellStyle name="Normal 5 3 3 3 2 5 4" xfId="10703" xr:uid="{9627A69E-066B-425F-96CD-4E0A7C831B71}"/>
    <cellStyle name="Normal 5 3 3 3 2 5 5" xfId="19144" xr:uid="{FB040582-0F5E-4801-86AD-F34BC163D1FF}"/>
    <cellStyle name="Normal 5 3 3 3 2 6" xfId="2601" xr:uid="{00000000-0005-0000-0000-0000D8190000}"/>
    <cellStyle name="Normal 5 3 3 3 2 6 2" xfId="6884" xr:uid="{00000000-0005-0000-0000-0000D9190000}"/>
    <cellStyle name="Normal 5 3 3 3 2 6 2 2" xfId="15334" xr:uid="{49FBA6A7-04DC-473C-9CD0-77967CC810D7}"/>
    <cellStyle name="Normal 5 3 3 3 2 6 2 3" xfId="23774" xr:uid="{FBA6B034-9302-456C-B017-1F03C29D523F}"/>
    <cellStyle name="Normal 5 3 3 3 2 6 3" xfId="11116" xr:uid="{08759FAC-37C1-420B-8721-D94F5F6B942C}"/>
    <cellStyle name="Normal 5 3 3 3 2 6 4" xfId="19557" xr:uid="{9B84219C-3EBC-4815-B3FF-5E3BBAACCB47}"/>
    <cellStyle name="Normal 5 3 3 3 2 7" xfId="4819" xr:uid="{00000000-0005-0000-0000-0000DA190000}"/>
    <cellStyle name="Normal 5 3 3 3 2 7 2" xfId="13269" xr:uid="{82B5853B-73F4-435E-8708-DE6F452CF335}"/>
    <cellStyle name="Normal 5 3 3 3 2 7 3" xfId="21709" xr:uid="{C88A099E-0E77-4A8F-87D0-A829EA7A5D25}"/>
    <cellStyle name="Normal 5 3 3 3 2 8" xfId="9051" xr:uid="{4B53CC42-D752-4BB4-AD27-8AD4F0610CFE}"/>
    <cellStyle name="Normal 5 3 3 3 2 9" xfId="17492" xr:uid="{372DE0B4-823B-4196-80F4-BAAC5028099A}"/>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50CF7FC1-FB71-4A7A-848A-153AD6E9274D}"/>
    <cellStyle name="Normal 5 3 3 3 3 2 2 3" xfId="24266" xr:uid="{5CB2DAE5-E980-40EC-A0F1-4D76907A5657}"/>
    <cellStyle name="Normal 5 3 3 3 3 2 3" xfId="11608" xr:uid="{8770768E-D024-45AE-922F-6B1F21B39620}"/>
    <cellStyle name="Normal 5 3 3 3 3 2 4" xfId="20049" xr:uid="{CB61F079-5A99-4547-AEB4-B95720C43949}"/>
    <cellStyle name="Normal 5 3 3 3 3 3" xfId="5231" xr:uid="{00000000-0005-0000-0000-0000DE190000}"/>
    <cellStyle name="Normal 5 3 3 3 3 3 2" xfId="13681" xr:uid="{BB330032-7DC4-46B5-B6DE-11F5D725EBFF}"/>
    <cellStyle name="Normal 5 3 3 3 3 3 3" xfId="22121" xr:uid="{A5C0FC1C-508F-4AB2-A5A9-A8E43495935C}"/>
    <cellStyle name="Normal 5 3 3 3 3 4" xfId="9463" xr:uid="{0FC153AD-645B-4A03-836F-8DC12E9F34AA}"/>
    <cellStyle name="Normal 5 3 3 3 3 5" xfId="17904" xr:uid="{821DE524-D6E9-4608-A653-A203B663349D}"/>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45D9B609-4FD2-486B-B691-C0EE82FBFD1C}"/>
    <cellStyle name="Normal 5 3 3 3 4 2 2 3" xfId="24679" xr:uid="{882F2E26-7D3F-4C52-87DF-AD37C17EA84D}"/>
    <cellStyle name="Normal 5 3 3 3 4 2 3" xfId="12021" xr:uid="{7C32DAA2-9080-4CD1-9F51-30AF527D54B2}"/>
    <cellStyle name="Normal 5 3 3 3 4 2 4" xfId="20462" xr:uid="{EEE4DF4B-528D-450F-8D43-76E097A53905}"/>
    <cellStyle name="Normal 5 3 3 3 4 3" xfId="5644" xr:uid="{00000000-0005-0000-0000-0000E2190000}"/>
    <cellStyle name="Normal 5 3 3 3 4 3 2" xfId="14094" xr:uid="{01D5D4ED-74AE-4F99-8FB8-7EB7276B2E37}"/>
    <cellStyle name="Normal 5 3 3 3 4 3 3" xfId="22534" xr:uid="{FCBDD699-D1B6-4B22-84AA-553FFDC99687}"/>
    <cellStyle name="Normal 5 3 3 3 4 4" xfId="9876" xr:uid="{D75D93BC-5598-486F-9EFA-90405875B108}"/>
    <cellStyle name="Normal 5 3 3 3 4 5" xfId="18317" xr:uid="{D6842B71-13B9-4864-830D-92B356B24A41}"/>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2488C062-FE7E-4937-A53F-9582630F4567}"/>
    <cellStyle name="Normal 5 3 3 3 5 2 2 3" xfId="25092" xr:uid="{7A0D9E3A-E6DA-4C43-8557-914DCE6F1BE1}"/>
    <cellStyle name="Normal 5 3 3 3 5 2 3" xfId="12434" xr:uid="{4FDA84D3-DC19-4B14-80DC-7B36724BDC8C}"/>
    <cellStyle name="Normal 5 3 3 3 5 2 4" xfId="20875" xr:uid="{F614355C-03E6-405E-8D21-789BF2DDC7BD}"/>
    <cellStyle name="Normal 5 3 3 3 5 3" xfId="6057" xr:uid="{00000000-0005-0000-0000-0000E6190000}"/>
    <cellStyle name="Normal 5 3 3 3 5 3 2" xfId="14507" xr:uid="{BCA0C060-94EE-4D19-957B-53145CF68BEC}"/>
    <cellStyle name="Normal 5 3 3 3 5 3 3" xfId="22947" xr:uid="{6C34EEE6-5FB2-4C64-A9A3-8B27356E463B}"/>
    <cellStyle name="Normal 5 3 3 3 5 4" xfId="10289" xr:uid="{7C63B148-9908-4C9D-86EB-F5758F916415}"/>
    <cellStyle name="Normal 5 3 3 3 5 5" xfId="18730" xr:uid="{1B93E6FC-2243-4FF7-A0D2-C9A64828DFE1}"/>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2A888BFE-63CB-4843-99A8-41515C6EB269}"/>
    <cellStyle name="Normal 5 3 3 3 6 2 2 3" xfId="25505" xr:uid="{339A929E-16F3-45E1-B568-8F0F9DCAF50C}"/>
    <cellStyle name="Normal 5 3 3 3 6 2 3" xfId="12847" xr:uid="{7DB76040-A6A2-43D2-A483-72C72EBDA5F3}"/>
    <cellStyle name="Normal 5 3 3 3 6 2 4" xfId="21288" xr:uid="{CD570293-BD03-4CA9-8227-5A1BFC064E16}"/>
    <cellStyle name="Normal 5 3 3 3 6 3" xfId="6470" xr:uid="{00000000-0005-0000-0000-0000EA190000}"/>
    <cellStyle name="Normal 5 3 3 3 6 3 2" xfId="14920" xr:uid="{DFCC2557-182E-49B7-AD2D-F1EEF76078D9}"/>
    <cellStyle name="Normal 5 3 3 3 6 3 3" xfId="23360" xr:uid="{F9C5B48A-83EF-46EA-B493-62318A2FF084}"/>
    <cellStyle name="Normal 5 3 3 3 6 4" xfId="10702" xr:uid="{2F5DFA2F-F3C6-4A28-9FD0-3A590A4D40D2}"/>
    <cellStyle name="Normal 5 3 3 3 6 5" xfId="19143" xr:uid="{917BC5E2-847E-40AB-81DB-3F1F7605ED99}"/>
    <cellStyle name="Normal 5 3 3 3 7" xfId="2600" xr:uid="{00000000-0005-0000-0000-0000EB190000}"/>
    <cellStyle name="Normal 5 3 3 3 7 2" xfId="6883" xr:uid="{00000000-0005-0000-0000-0000EC190000}"/>
    <cellStyle name="Normal 5 3 3 3 7 2 2" xfId="15333" xr:uid="{5FA5A7DE-DE39-4C41-A362-9408463F8B6B}"/>
    <cellStyle name="Normal 5 3 3 3 7 2 3" xfId="23773" xr:uid="{2283848A-F6E8-4F74-9DED-E578CC11E64C}"/>
    <cellStyle name="Normal 5 3 3 3 7 3" xfId="11115" xr:uid="{6B5F6C2D-A298-4D0A-AC81-BD617E375D73}"/>
    <cellStyle name="Normal 5 3 3 3 7 4" xfId="19556" xr:uid="{062AEE59-69AD-4E2E-9678-9393C6E4B7A6}"/>
    <cellStyle name="Normal 5 3 3 3 8" xfId="4818" xr:uid="{00000000-0005-0000-0000-0000ED190000}"/>
    <cellStyle name="Normal 5 3 3 3 8 2" xfId="13268" xr:uid="{6B38F202-2551-41C7-B336-60D8419198A4}"/>
    <cellStyle name="Normal 5 3 3 3 8 3" xfId="21708" xr:uid="{DCC7DE76-A7FD-4BB9-998A-BAD7BD178D74}"/>
    <cellStyle name="Normal 5 3 3 3 9" xfId="9050" xr:uid="{DF97C1A8-073C-4E53-A657-D11FA37CBA51}"/>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29D234CB-B67F-4248-9FDD-FFF3AE3BBB1F}"/>
    <cellStyle name="Normal 5 3 3 4 2 2 2 3" xfId="24268" xr:uid="{5F023948-9A23-42FC-8ED2-7607225B031B}"/>
    <cellStyle name="Normal 5 3 3 4 2 2 3" xfId="11610" xr:uid="{5B8DAEA2-5721-4DC0-8117-1ED122584AE9}"/>
    <cellStyle name="Normal 5 3 3 4 2 2 4" xfId="20051" xr:uid="{BD8F0E5C-84F1-48CA-B4A3-F684CFB4CC2F}"/>
    <cellStyle name="Normal 5 3 3 4 2 3" xfId="5233" xr:uid="{00000000-0005-0000-0000-0000F2190000}"/>
    <cellStyle name="Normal 5 3 3 4 2 3 2" xfId="13683" xr:uid="{DF9E943D-E265-40DB-A93D-F6B84AF5539B}"/>
    <cellStyle name="Normal 5 3 3 4 2 3 3" xfId="22123" xr:uid="{E3554CE9-DCAF-4E93-8414-61234F753A20}"/>
    <cellStyle name="Normal 5 3 3 4 2 4" xfId="9465" xr:uid="{04161A64-4F0B-4A1A-841B-48F7094332BC}"/>
    <cellStyle name="Normal 5 3 3 4 2 5" xfId="17906" xr:uid="{838C3BF3-8DDA-48A5-8A15-21DD4C9038EB}"/>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6ECC991D-0D0D-4CB5-AA9B-5EB2555286B6}"/>
    <cellStyle name="Normal 5 3 3 4 3 2 2 3" xfId="24681" xr:uid="{48015373-1853-4E4D-BD67-39C8178B21F7}"/>
    <cellStyle name="Normal 5 3 3 4 3 2 3" xfId="12023" xr:uid="{2741F642-556E-4CC7-8C91-71DF81066FDF}"/>
    <cellStyle name="Normal 5 3 3 4 3 2 4" xfId="20464" xr:uid="{77E3275D-9843-473F-94D7-8B366E49A507}"/>
    <cellStyle name="Normal 5 3 3 4 3 3" xfId="5646" xr:uid="{00000000-0005-0000-0000-0000F6190000}"/>
    <cellStyle name="Normal 5 3 3 4 3 3 2" xfId="14096" xr:uid="{BCFE4F70-BFF8-4E67-B4EE-F7EB8AB3873C}"/>
    <cellStyle name="Normal 5 3 3 4 3 3 3" xfId="22536" xr:uid="{09182619-8B59-4CAB-A953-98E96C64BDC0}"/>
    <cellStyle name="Normal 5 3 3 4 3 4" xfId="9878" xr:uid="{76090D95-F26B-4C99-8CD6-BF5A4A712066}"/>
    <cellStyle name="Normal 5 3 3 4 3 5" xfId="18319" xr:uid="{FD9219C8-4182-4F3C-B020-94A32F7EF390}"/>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31845C6D-0F69-4359-A916-716584E4341D}"/>
    <cellStyle name="Normal 5 3 3 4 4 2 2 3" xfId="25094" xr:uid="{3200055B-94B0-4B2C-9870-5156E6C81F20}"/>
    <cellStyle name="Normal 5 3 3 4 4 2 3" xfId="12436" xr:uid="{46EB229B-661E-4C90-913F-6574BE1445C6}"/>
    <cellStyle name="Normal 5 3 3 4 4 2 4" xfId="20877" xr:uid="{62B12CF4-9573-49CD-97D7-675CBF521330}"/>
    <cellStyle name="Normal 5 3 3 4 4 3" xfId="6059" xr:uid="{00000000-0005-0000-0000-0000FA190000}"/>
    <cellStyle name="Normal 5 3 3 4 4 3 2" xfId="14509" xr:uid="{D7C1237F-E896-4D12-9899-48571EBCA003}"/>
    <cellStyle name="Normal 5 3 3 4 4 3 3" xfId="22949" xr:uid="{A1AA9F93-1344-4025-94E7-69E150D564FE}"/>
    <cellStyle name="Normal 5 3 3 4 4 4" xfId="10291" xr:uid="{1DA685C1-CD86-4BC1-BF2A-300954EE6242}"/>
    <cellStyle name="Normal 5 3 3 4 4 5" xfId="18732" xr:uid="{9CA4E29F-5816-46CE-9886-8F324D271FF5}"/>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D85DE205-718F-4129-A296-03437353366A}"/>
    <cellStyle name="Normal 5 3 3 4 5 2 2 3" xfId="25507" xr:uid="{7DC27DAA-DA52-411C-B9E7-1770354DD455}"/>
    <cellStyle name="Normal 5 3 3 4 5 2 3" xfId="12849" xr:uid="{098CB137-63A7-45CC-9BB5-BC93F8E8E507}"/>
    <cellStyle name="Normal 5 3 3 4 5 2 4" xfId="21290" xr:uid="{CED1DA05-103B-4C06-A072-EA33FB155BE5}"/>
    <cellStyle name="Normal 5 3 3 4 5 3" xfId="6472" xr:uid="{00000000-0005-0000-0000-0000FE190000}"/>
    <cellStyle name="Normal 5 3 3 4 5 3 2" xfId="14922" xr:uid="{72EF5119-AB03-47A9-93FB-79A2E5412D1C}"/>
    <cellStyle name="Normal 5 3 3 4 5 3 3" xfId="23362" xr:uid="{2D54C88D-D398-4CDE-AC0C-8F62A5ED1C0F}"/>
    <cellStyle name="Normal 5 3 3 4 5 4" xfId="10704" xr:uid="{BD9CEE5E-C50A-4E92-B557-BE70BD9ED8B9}"/>
    <cellStyle name="Normal 5 3 3 4 5 5" xfId="19145" xr:uid="{F9139800-E17A-4EE6-8FF8-1B3FC8683079}"/>
    <cellStyle name="Normal 5 3 3 4 6" xfId="2602" xr:uid="{00000000-0005-0000-0000-0000FF190000}"/>
    <cellStyle name="Normal 5 3 3 4 6 2" xfId="6885" xr:uid="{00000000-0005-0000-0000-0000001A0000}"/>
    <cellStyle name="Normal 5 3 3 4 6 2 2" xfId="15335" xr:uid="{DE5EB8FC-EB7E-4A6E-9721-E06736C8C8EF}"/>
    <cellStyle name="Normal 5 3 3 4 6 2 3" xfId="23775" xr:uid="{5DB53DE2-4C7D-4EAB-BC2E-72FDBB8A0F2C}"/>
    <cellStyle name="Normal 5 3 3 4 6 3" xfId="11117" xr:uid="{63842CA9-83A0-421B-AB14-74024ED82867}"/>
    <cellStyle name="Normal 5 3 3 4 6 4" xfId="19558" xr:uid="{769D2C4A-5CD3-42DE-AB7B-AD714524B9B3}"/>
    <cellStyle name="Normal 5 3 3 4 7" xfId="4820" xr:uid="{00000000-0005-0000-0000-0000011A0000}"/>
    <cellStyle name="Normal 5 3 3 4 7 2" xfId="13270" xr:uid="{4305D4E1-9DCA-400B-AF27-B4017A8A15E1}"/>
    <cellStyle name="Normal 5 3 3 4 7 3" xfId="21710" xr:uid="{4078BE20-B837-413B-B5A4-D51C16337959}"/>
    <cellStyle name="Normal 5 3 3 4 8" xfId="9052" xr:uid="{8C29E893-A4CB-4719-9078-AA4E9C89F5C8}"/>
    <cellStyle name="Normal 5 3 3 4 9" xfId="17493" xr:uid="{38FB7EBB-9B45-4719-B65A-269165D4C180}"/>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428AAD7E-7CAE-4CD4-B41F-DA550C5E53B5}"/>
    <cellStyle name="Normal 5 3 3 5 2 2 3" xfId="24261" xr:uid="{40ADD365-55AC-4A53-80DA-826105308522}"/>
    <cellStyle name="Normal 5 3 3 5 2 3" xfId="11603" xr:uid="{15DD0AA8-5910-4F53-9690-3DE7518A0EA5}"/>
    <cellStyle name="Normal 5 3 3 5 2 4" xfId="20044" xr:uid="{6A50072C-2431-455F-BBA2-0E1965A226AB}"/>
    <cellStyle name="Normal 5 3 3 5 3" xfId="5226" xr:uid="{00000000-0005-0000-0000-0000051A0000}"/>
    <cellStyle name="Normal 5 3 3 5 3 2" xfId="13676" xr:uid="{ABB9C478-2A1B-4A87-971D-5B71D3DDCF85}"/>
    <cellStyle name="Normal 5 3 3 5 3 3" xfId="22116" xr:uid="{58D998CA-8847-4854-A339-6B7A66091FC1}"/>
    <cellStyle name="Normal 5 3 3 5 4" xfId="9458" xr:uid="{8E645832-B6EE-4311-8E40-D6C57CD7104E}"/>
    <cellStyle name="Normal 5 3 3 5 5" xfId="17899" xr:uid="{438812AE-040B-4CE4-987F-822C79F1E5B9}"/>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79B1912F-AA0E-4D06-B4B9-B3A857695D3C}"/>
    <cellStyle name="Normal 5 3 3 6 2 2 3" xfId="24674" xr:uid="{5F13F476-22DA-4626-B101-EE69BF334A26}"/>
    <cellStyle name="Normal 5 3 3 6 2 3" xfId="12016" xr:uid="{05BAF80E-0C5F-42D5-995E-7B53898E1F50}"/>
    <cellStyle name="Normal 5 3 3 6 2 4" xfId="20457" xr:uid="{99F3C28A-0598-4BFC-A98A-7B9845DACCBB}"/>
    <cellStyle name="Normal 5 3 3 6 3" xfId="5639" xr:uid="{00000000-0005-0000-0000-0000091A0000}"/>
    <cellStyle name="Normal 5 3 3 6 3 2" xfId="14089" xr:uid="{0961DB5C-E42D-41FE-8937-2909D8C79C1D}"/>
    <cellStyle name="Normal 5 3 3 6 3 3" xfId="22529" xr:uid="{790D24E8-998B-4138-84E4-D5CA79E8AE55}"/>
    <cellStyle name="Normal 5 3 3 6 4" xfId="9871" xr:uid="{D2075B6C-794E-4A96-BBE0-00A6B443FAD5}"/>
    <cellStyle name="Normal 5 3 3 6 5" xfId="18312" xr:uid="{9945F0CD-272A-482B-9156-90D72AF2E5E3}"/>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9263526-1985-4DC7-A817-878709D9E438}"/>
    <cellStyle name="Normal 5 3 3 7 2 2 3" xfId="25087" xr:uid="{C7E29DF2-4957-4BBA-9322-DDCD95FBAA1D}"/>
    <cellStyle name="Normal 5 3 3 7 2 3" xfId="12429" xr:uid="{4DFB9941-42A5-4A34-9393-4487B1328053}"/>
    <cellStyle name="Normal 5 3 3 7 2 4" xfId="20870" xr:uid="{072915E8-B0F9-47B8-B0CF-317601B3F342}"/>
    <cellStyle name="Normal 5 3 3 7 3" xfId="6052" xr:uid="{00000000-0005-0000-0000-00000D1A0000}"/>
    <cellStyle name="Normal 5 3 3 7 3 2" xfId="14502" xr:uid="{6CDB321F-301F-4E79-92AE-74D26FF1B30C}"/>
    <cellStyle name="Normal 5 3 3 7 3 3" xfId="22942" xr:uid="{4AB2283F-D00F-47BE-89EE-9822BE721713}"/>
    <cellStyle name="Normal 5 3 3 7 4" xfId="10284" xr:uid="{4F34D132-2608-4AD4-A68B-9E77FF1705E6}"/>
    <cellStyle name="Normal 5 3 3 7 5" xfId="18725" xr:uid="{52313C0E-25F2-468A-B1FF-449BAB7F8E58}"/>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28242A8B-1727-4398-A0A5-1B8B7E1E6FE9}"/>
    <cellStyle name="Normal 5 3 3 8 2 2 3" xfId="25500" xr:uid="{C4AED2F5-C893-4C6A-BE6C-F384C4D8B264}"/>
    <cellStyle name="Normal 5 3 3 8 2 3" xfId="12842" xr:uid="{1EBD7B2F-2F77-4B10-8E57-F17BC9CF27F7}"/>
    <cellStyle name="Normal 5 3 3 8 2 4" xfId="21283" xr:uid="{0BF26E5F-F05D-46D5-BC98-CD3120E38472}"/>
    <cellStyle name="Normal 5 3 3 8 3" xfId="6465" xr:uid="{00000000-0005-0000-0000-0000111A0000}"/>
    <cellStyle name="Normal 5 3 3 8 3 2" xfId="14915" xr:uid="{EA8C4C9C-BB7C-4A4E-93DE-0F6179456364}"/>
    <cellStyle name="Normal 5 3 3 8 3 3" xfId="23355" xr:uid="{78D6723B-C56B-4BB6-8C66-64528E90D9EE}"/>
    <cellStyle name="Normal 5 3 3 8 4" xfId="10697" xr:uid="{C447CB8F-8148-45BB-AB5B-CB3B1D0D6321}"/>
    <cellStyle name="Normal 5 3 3 8 5" xfId="19138" xr:uid="{0B281DD6-174F-41ED-92BF-89F6C5EE13D4}"/>
    <cellStyle name="Normal 5 3 3 9" xfId="2595" xr:uid="{00000000-0005-0000-0000-0000121A0000}"/>
    <cellStyle name="Normal 5 3 3 9 2" xfId="6878" xr:uid="{00000000-0005-0000-0000-0000131A0000}"/>
    <cellStyle name="Normal 5 3 3 9 2 2" xfId="15328" xr:uid="{54BCBAFE-BA37-47CC-8346-3CB1173FD277}"/>
    <cellStyle name="Normal 5 3 3 9 2 3" xfId="23768" xr:uid="{E0700E69-B11A-436A-9BEB-C8FF9CDAAA46}"/>
    <cellStyle name="Normal 5 3 3 9 3" xfId="11110" xr:uid="{08708E42-16BD-4926-B6B9-45D8D80B11F6}"/>
    <cellStyle name="Normal 5 3 3 9 4" xfId="19551" xr:uid="{F2AF8E01-332E-42F0-9CA3-0B44E3331070}"/>
    <cellStyle name="Normal 5 3 4" xfId="449" xr:uid="{00000000-0005-0000-0000-0000141A0000}"/>
    <cellStyle name="Normal 5 3 4 10" xfId="9053" xr:uid="{7CD298D3-BB57-4EB5-934A-084BFD1E037B}"/>
    <cellStyle name="Normal 5 3 4 11" xfId="17494" xr:uid="{E4240281-9F4C-4ABB-942C-003E45997E51}"/>
    <cellStyle name="Normal 5 3 4 2" xfId="450" xr:uid="{00000000-0005-0000-0000-0000151A0000}"/>
    <cellStyle name="Normal 5 3 4 2 10" xfId="17495" xr:uid="{2C435008-2CF9-46C9-9EE8-EF474AEBC0AD}"/>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929A95F5-DEAD-4F9F-B7FC-3CCCB8DEA80C}"/>
    <cellStyle name="Normal 5 3 4 2 2 2 2 2 3" xfId="24271" xr:uid="{F89A2F52-837B-46F6-929D-ACFC35166941}"/>
    <cellStyle name="Normal 5 3 4 2 2 2 2 3" xfId="11613" xr:uid="{58762EB3-B0E8-498C-93C5-53D5B9D0AA3E}"/>
    <cellStyle name="Normal 5 3 4 2 2 2 2 4" xfId="20054" xr:uid="{4C03407F-63EA-4B39-9C29-E56FE4F82485}"/>
    <cellStyle name="Normal 5 3 4 2 2 2 3" xfId="5236" xr:uid="{00000000-0005-0000-0000-00001A1A0000}"/>
    <cellStyle name="Normal 5 3 4 2 2 2 3 2" xfId="13686" xr:uid="{F13B6B83-8579-46C3-B0E5-27825B9C8565}"/>
    <cellStyle name="Normal 5 3 4 2 2 2 3 3" xfId="22126" xr:uid="{D2FAB8E8-EBF1-4F9A-A756-196D51134B7C}"/>
    <cellStyle name="Normal 5 3 4 2 2 2 4" xfId="9468" xr:uid="{7FC8B4A6-E8CA-4252-8D2C-872BD3A5A069}"/>
    <cellStyle name="Normal 5 3 4 2 2 2 5" xfId="17909" xr:uid="{A6B9919E-2423-405F-8ED5-495D50F07D18}"/>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CFB900B0-86D7-4CA3-AB55-726B49C22B60}"/>
    <cellStyle name="Normal 5 3 4 2 2 3 2 2 3" xfId="24684" xr:uid="{E3E235E3-825C-43E8-9EB9-CD2D5324877B}"/>
    <cellStyle name="Normal 5 3 4 2 2 3 2 3" xfId="12026" xr:uid="{85831639-6E82-4A58-8D5F-AE087EA8686B}"/>
    <cellStyle name="Normal 5 3 4 2 2 3 2 4" xfId="20467" xr:uid="{8EB16BFD-8778-4394-8C6B-072B374A6AD3}"/>
    <cellStyle name="Normal 5 3 4 2 2 3 3" xfId="5649" xr:uid="{00000000-0005-0000-0000-00001E1A0000}"/>
    <cellStyle name="Normal 5 3 4 2 2 3 3 2" xfId="14099" xr:uid="{AE65279B-ECD8-4864-894D-519B3B5DE6B2}"/>
    <cellStyle name="Normal 5 3 4 2 2 3 3 3" xfId="22539" xr:uid="{B1878022-6977-40C8-B811-79E65FF4D1EE}"/>
    <cellStyle name="Normal 5 3 4 2 2 3 4" xfId="9881" xr:uid="{F64CA0E4-C704-40AC-8455-90C3C761FC98}"/>
    <cellStyle name="Normal 5 3 4 2 2 3 5" xfId="18322" xr:uid="{511CC6FA-ED04-49CE-8C2F-04578CC9963F}"/>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441CDD65-DEBF-46D5-974B-62F72B7FBE51}"/>
    <cellStyle name="Normal 5 3 4 2 2 4 2 2 3" xfId="25097" xr:uid="{16936B00-D9A8-4649-A59A-E14668DBAA59}"/>
    <cellStyle name="Normal 5 3 4 2 2 4 2 3" xfId="12439" xr:uid="{8625E84E-905D-44DB-A0C8-A8380EFDE58F}"/>
    <cellStyle name="Normal 5 3 4 2 2 4 2 4" xfId="20880" xr:uid="{26A5F055-488E-4543-A277-F075C64A7483}"/>
    <cellStyle name="Normal 5 3 4 2 2 4 3" xfId="6062" xr:uid="{00000000-0005-0000-0000-0000221A0000}"/>
    <cellStyle name="Normal 5 3 4 2 2 4 3 2" xfId="14512" xr:uid="{1CE52676-9722-4A9B-BC99-038D3538E86A}"/>
    <cellStyle name="Normal 5 3 4 2 2 4 3 3" xfId="22952" xr:uid="{AF4C8357-9927-4789-9B2D-EC7EB44EE270}"/>
    <cellStyle name="Normal 5 3 4 2 2 4 4" xfId="10294" xr:uid="{2EF919D4-513C-439F-B354-2838ACC8D42F}"/>
    <cellStyle name="Normal 5 3 4 2 2 4 5" xfId="18735" xr:uid="{47AE68E1-CC61-4321-A708-BE23629B6936}"/>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692D0B76-C041-4737-B2F4-A0A02F3DC591}"/>
    <cellStyle name="Normal 5 3 4 2 2 5 2 2 3" xfId="25510" xr:uid="{A93FB3D6-F647-41FD-8656-1F39F82F9FFF}"/>
    <cellStyle name="Normal 5 3 4 2 2 5 2 3" xfId="12852" xr:uid="{14280E31-4D00-48EF-AA8B-4B8E1D1E72B2}"/>
    <cellStyle name="Normal 5 3 4 2 2 5 2 4" xfId="21293" xr:uid="{62523AB0-2174-4164-ABFA-8EA9EFAF80B2}"/>
    <cellStyle name="Normal 5 3 4 2 2 5 3" xfId="6475" xr:uid="{00000000-0005-0000-0000-0000261A0000}"/>
    <cellStyle name="Normal 5 3 4 2 2 5 3 2" xfId="14925" xr:uid="{148561E5-DB22-409A-8BED-BA9A49B939A8}"/>
    <cellStyle name="Normal 5 3 4 2 2 5 3 3" xfId="23365" xr:uid="{1507B476-9E6D-4AD9-BDCA-6DF687A06AD6}"/>
    <cellStyle name="Normal 5 3 4 2 2 5 4" xfId="10707" xr:uid="{859B4CD5-645D-418C-B990-BF0C843E94C2}"/>
    <cellStyle name="Normal 5 3 4 2 2 5 5" xfId="19148" xr:uid="{1F387A64-1F2B-4525-BB16-83FDCBFD1DB2}"/>
    <cellStyle name="Normal 5 3 4 2 2 6" xfId="2605" xr:uid="{00000000-0005-0000-0000-0000271A0000}"/>
    <cellStyle name="Normal 5 3 4 2 2 6 2" xfId="6888" xr:uid="{00000000-0005-0000-0000-0000281A0000}"/>
    <cellStyle name="Normal 5 3 4 2 2 6 2 2" xfId="15338" xr:uid="{69C396A3-53FC-44BC-A416-975ABDDDCF65}"/>
    <cellStyle name="Normal 5 3 4 2 2 6 2 3" xfId="23778" xr:uid="{4E1DFAFA-45DC-4AFC-AD18-572CA1F502B7}"/>
    <cellStyle name="Normal 5 3 4 2 2 6 3" xfId="11120" xr:uid="{863C9AB3-2CAE-4B4B-A651-A85BB9DDF85E}"/>
    <cellStyle name="Normal 5 3 4 2 2 6 4" xfId="19561" xr:uid="{C155A439-5506-46F9-89DC-8B9165D84179}"/>
    <cellStyle name="Normal 5 3 4 2 2 7" xfId="4823" xr:uid="{00000000-0005-0000-0000-0000291A0000}"/>
    <cellStyle name="Normal 5 3 4 2 2 7 2" xfId="13273" xr:uid="{EAC42764-6087-4F1E-BDAD-24DFE3202521}"/>
    <cellStyle name="Normal 5 3 4 2 2 7 3" xfId="21713" xr:uid="{8AD308CE-2B78-443C-A2BF-CCAA86634CB2}"/>
    <cellStyle name="Normal 5 3 4 2 2 8" xfId="9055" xr:uid="{86311A9E-CD34-4174-8121-A7292F626642}"/>
    <cellStyle name="Normal 5 3 4 2 2 9" xfId="17496" xr:uid="{3506C670-FAC8-4F4E-92B7-0603219AFF94}"/>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0A282192-6016-45F4-BA64-513EF94071A4}"/>
    <cellStyle name="Normal 5 3 4 2 3 2 2 3" xfId="24270" xr:uid="{267336AC-3336-49DF-8C57-31FD86A81209}"/>
    <cellStyle name="Normal 5 3 4 2 3 2 3" xfId="11612" xr:uid="{A6E141F5-22BD-4F39-9D9E-4DF0F8618082}"/>
    <cellStyle name="Normal 5 3 4 2 3 2 4" xfId="20053" xr:uid="{E294299B-5B01-434C-ABD4-E47AB0A42C67}"/>
    <cellStyle name="Normal 5 3 4 2 3 3" xfId="5235" xr:uid="{00000000-0005-0000-0000-00002D1A0000}"/>
    <cellStyle name="Normal 5 3 4 2 3 3 2" xfId="13685" xr:uid="{96AF88C9-113C-4F98-95A7-03ED8C8A0D99}"/>
    <cellStyle name="Normal 5 3 4 2 3 3 3" xfId="22125" xr:uid="{C7A89878-489B-4736-89D4-4E658AC6A362}"/>
    <cellStyle name="Normal 5 3 4 2 3 4" xfId="9467" xr:uid="{CA80F49C-89A9-4D5F-8C9A-0DEE72CC1CF8}"/>
    <cellStyle name="Normal 5 3 4 2 3 5" xfId="17908" xr:uid="{34D1718D-B7BE-40D9-99FF-EE937CDFE912}"/>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4D319BC-EFFE-404D-BFA5-F4695F7DE79F}"/>
    <cellStyle name="Normal 5 3 4 2 4 2 2 3" xfId="24683" xr:uid="{38596073-38CC-4941-997B-F0BB1957AF85}"/>
    <cellStyle name="Normal 5 3 4 2 4 2 3" xfId="12025" xr:uid="{08C9E45A-6CA8-4D0D-9528-DA9210349A15}"/>
    <cellStyle name="Normal 5 3 4 2 4 2 4" xfId="20466" xr:uid="{8691D16F-CB19-4936-882F-26527AE74548}"/>
    <cellStyle name="Normal 5 3 4 2 4 3" xfId="5648" xr:uid="{00000000-0005-0000-0000-0000311A0000}"/>
    <cellStyle name="Normal 5 3 4 2 4 3 2" xfId="14098" xr:uid="{140ABCDF-5867-4031-BBB9-6A322590E861}"/>
    <cellStyle name="Normal 5 3 4 2 4 3 3" xfId="22538" xr:uid="{57330344-CDAE-420A-B7A4-75A5130BDF34}"/>
    <cellStyle name="Normal 5 3 4 2 4 4" xfId="9880" xr:uid="{9601F6A5-B014-4992-88B3-A99270F4596E}"/>
    <cellStyle name="Normal 5 3 4 2 4 5" xfId="18321" xr:uid="{AC205508-AEA6-483F-BCB6-4702ADA0DADC}"/>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3B12C6C5-3616-4E1D-84BB-ACB0D3A1CB32}"/>
    <cellStyle name="Normal 5 3 4 2 5 2 2 3" xfId="25096" xr:uid="{2F8649F3-C4CC-4F4A-AD6B-F335557536BB}"/>
    <cellStyle name="Normal 5 3 4 2 5 2 3" xfId="12438" xr:uid="{C4935538-6722-483E-B218-D886D5AE0F11}"/>
    <cellStyle name="Normal 5 3 4 2 5 2 4" xfId="20879" xr:uid="{530F28A0-12ED-4955-856F-1AB294C8E2E8}"/>
    <cellStyle name="Normal 5 3 4 2 5 3" xfId="6061" xr:uid="{00000000-0005-0000-0000-0000351A0000}"/>
    <cellStyle name="Normal 5 3 4 2 5 3 2" xfId="14511" xr:uid="{E20A151B-2E0B-47FC-B081-1308D87188F9}"/>
    <cellStyle name="Normal 5 3 4 2 5 3 3" xfId="22951" xr:uid="{9A45DAF3-493D-4704-8033-5E07DA5276F1}"/>
    <cellStyle name="Normal 5 3 4 2 5 4" xfId="10293" xr:uid="{739A633F-3654-4DF1-AC78-83E9EE6F20E2}"/>
    <cellStyle name="Normal 5 3 4 2 5 5" xfId="18734" xr:uid="{C074ABE5-9E52-4FFA-B403-CDB2BD5B5E8E}"/>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E5141D70-8FB9-4D33-9CAD-2442300F04F8}"/>
    <cellStyle name="Normal 5 3 4 2 6 2 2 3" xfId="25509" xr:uid="{061CCA99-6650-4910-B43E-0794E5EA4BB6}"/>
    <cellStyle name="Normal 5 3 4 2 6 2 3" xfId="12851" xr:uid="{5C53C8C6-65FF-4059-BCB2-D83B9C3BF07E}"/>
    <cellStyle name="Normal 5 3 4 2 6 2 4" xfId="21292" xr:uid="{FDA71B32-711E-41E7-AFBE-C2F7231A8EC3}"/>
    <cellStyle name="Normal 5 3 4 2 6 3" xfId="6474" xr:uid="{00000000-0005-0000-0000-0000391A0000}"/>
    <cellStyle name="Normal 5 3 4 2 6 3 2" xfId="14924" xr:uid="{4D3F09A0-7C3F-4228-BF80-AA3CC0520284}"/>
    <cellStyle name="Normal 5 3 4 2 6 3 3" xfId="23364" xr:uid="{0BF34F52-F0F7-456B-A3C2-5FF041F6B34D}"/>
    <cellStyle name="Normal 5 3 4 2 6 4" xfId="10706" xr:uid="{727F9EC9-5795-45F0-96A0-490A60482957}"/>
    <cellStyle name="Normal 5 3 4 2 6 5" xfId="19147" xr:uid="{1C759030-F2E3-43EC-880E-E50997715B9F}"/>
    <cellStyle name="Normal 5 3 4 2 7" xfId="2604" xr:uid="{00000000-0005-0000-0000-00003A1A0000}"/>
    <cellStyle name="Normal 5 3 4 2 7 2" xfId="6887" xr:uid="{00000000-0005-0000-0000-00003B1A0000}"/>
    <cellStyle name="Normal 5 3 4 2 7 2 2" xfId="15337" xr:uid="{E9BCE549-8C5B-47AE-9E0D-A8FBE250321D}"/>
    <cellStyle name="Normal 5 3 4 2 7 2 3" xfId="23777" xr:uid="{B0DB2FC6-029F-4460-81A1-D0ED2A244B7C}"/>
    <cellStyle name="Normal 5 3 4 2 7 3" xfId="11119" xr:uid="{FD089A01-06E9-48F6-BFD0-A7EAE15D50C7}"/>
    <cellStyle name="Normal 5 3 4 2 7 4" xfId="19560" xr:uid="{DFF36A69-9CBE-4770-B80A-00AB9D6A347D}"/>
    <cellStyle name="Normal 5 3 4 2 8" xfId="4822" xr:uid="{00000000-0005-0000-0000-00003C1A0000}"/>
    <cellStyle name="Normal 5 3 4 2 8 2" xfId="13272" xr:uid="{7EB40565-32B8-49BC-9993-6565AD3245B8}"/>
    <cellStyle name="Normal 5 3 4 2 8 3" xfId="21712" xr:uid="{30082678-5973-432D-86EA-3419583E4130}"/>
    <cellStyle name="Normal 5 3 4 2 9" xfId="9054" xr:uid="{B6AE8058-6E49-47CB-A9D6-64E1B99E7EC1}"/>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4670F1A1-B454-43A3-8270-42AC73D8649C}"/>
    <cellStyle name="Normal 5 3 4 3 2 2 2 3" xfId="24272" xr:uid="{37934EE2-9C1A-4F38-901D-80B8C55A3F33}"/>
    <cellStyle name="Normal 5 3 4 3 2 2 3" xfId="11614" xr:uid="{085A5D59-E047-4993-B403-9C835D3DA075}"/>
    <cellStyle name="Normal 5 3 4 3 2 2 4" xfId="20055" xr:uid="{09FB64BF-AA01-4C6A-A681-88E44CEEF053}"/>
    <cellStyle name="Normal 5 3 4 3 2 3" xfId="5237" xr:uid="{00000000-0005-0000-0000-0000411A0000}"/>
    <cellStyle name="Normal 5 3 4 3 2 3 2" xfId="13687" xr:uid="{C25F1A24-9D3A-4F7A-B72A-03DDE39396E1}"/>
    <cellStyle name="Normal 5 3 4 3 2 3 3" xfId="22127" xr:uid="{10624A0B-6533-4B4D-A5FB-4AEB6B56AF5E}"/>
    <cellStyle name="Normal 5 3 4 3 2 4" xfId="9469" xr:uid="{672A7521-A853-4393-8452-F93DFF00A117}"/>
    <cellStyle name="Normal 5 3 4 3 2 5" xfId="17910" xr:uid="{196018D8-B986-429A-A300-272A3271E4F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758ADF0D-1A03-4863-AB3E-3C7EAD2DA55A}"/>
    <cellStyle name="Normal 5 3 4 3 3 2 2 3" xfId="24685" xr:uid="{F2353AB4-DFCC-4EAB-B6EA-43D016B38177}"/>
    <cellStyle name="Normal 5 3 4 3 3 2 3" xfId="12027" xr:uid="{3BF486BF-F2F8-4B03-A4B2-7ED328D8FA5D}"/>
    <cellStyle name="Normal 5 3 4 3 3 2 4" xfId="20468" xr:uid="{B2A0627B-BF9E-4DAC-9829-DA413A5EB169}"/>
    <cellStyle name="Normal 5 3 4 3 3 3" xfId="5650" xr:uid="{00000000-0005-0000-0000-0000451A0000}"/>
    <cellStyle name="Normal 5 3 4 3 3 3 2" xfId="14100" xr:uid="{02E557FE-3906-4998-9D96-A46138AD0EBD}"/>
    <cellStyle name="Normal 5 3 4 3 3 3 3" xfId="22540" xr:uid="{F210DBE1-E8FA-4860-9531-884945BC0FAF}"/>
    <cellStyle name="Normal 5 3 4 3 3 4" xfId="9882" xr:uid="{090A6C10-96E4-4118-B112-308B73854AF7}"/>
    <cellStyle name="Normal 5 3 4 3 3 5" xfId="18323" xr:uid="{3FEE908F-026D-4E27-9CFB-2213DC4E3B5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131FB171-FF35-4B96-ACF8-DA2851F3F8D7}"/>
    <cellStyle name="Normal 5 3 4 3 4 2 2 3" xfId="25098" xr:uid="{3ED2A892-FE13-4AEC-8806-373B156BD0CB}"/>
    <cellStyle name="Normal 5 3 4 3 4 2 3" xfId="12440" xr:uid="{F9D79B71-8BF7-42AB-A527-FC7AD956A5EA}"/>
    <cellStyle name="Normal 5 3 4 3 4 2 4" xfId="20881" xr:uid="{E20449E3-AF05-4370-A53C-A570217A182C}"/>
    <cellStyle name="Normal 5 3 4 3 4 3" xfId="6063" xr:uid="{00000000-0005-0000-0000-0000491A0000}"/>
    <cellStyle name="Normal 5 3 4 3 4 3 2" xfId="14513" xr:uid="{C2302D0D-5C46-447C-A979-865FAC0C28DD}"/>
    <cellStyle name="Normal 5 3 4 3 4 3 3" xfId="22953" xr:uid="{5CD88354-CE56-4B0E-A76F-90B5ECA40D8C}"/>
    <cellStyle name="Normal 5 3 4 3 4 4" xfId="10295" xr:uid="{717707A2-5970-4F00-9C15-721426829F24}"/>
    <cellStyle name="Normal 5 3 4 3 4 5" xfId="18736" xr:uid="{A08935F5-3EF2-42D2-9B6D-D9A3F4726E13}"/>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5EB5B16F-2251-4A26-B021-AB03F73CC19B}"/>
    <cellStyle name="Normal 5 3 4 3 5 2 2 3" xfId="25511" xr:uid="{C6F4F2E0-6536-4F5C-9EA0-3183C3386709}"/>
    <cellStyle name="Normal 5 3 4 3 5 2 3" xfId="12853" xr:uid="{20F0A21E-DE23-45ED-B28D-5044841581E6}"/>
    <cellStyle name="Normal 5 3 4 3 5 2 4" xfId="21294" xr:uid="{77965DDA-AA28-4BBC-AAF8-A14F25F201E7}"/>
    <cellStyle name="Normal 5 3 4 3 5 3" xfId="6476" xr:uid="{00000000-0005-0000-0000-00004D1A0000}"/>
    <cellStyle name="Normal 5 3 4 3 5 3 2" xfId="14926" xr:uid="{78C8DD07-3445-43DB-B756-A45D4F5425D5}"/>
    <cellStyle name="Normal 5 3 4 3 5 3 3" xfId="23366" xr:uid="{B1FE9A4C-6893-4998-9A02-0292AB4C8932}"/>
    <cellStyle name="Normal 5 3 4 3 5 4" xfId="10708" xr:uid="{E19E8966-01CC-4EB7-9621-D23DB211B820}"/>
    <cellStyle name="Normal 5 3 4 3 5 5" xfId="19149" xr:uid="{E082D724-5FFF-4A16-9C0D-D13FAB563690}"/>
    <cellStyle name="Normal 5 3 4 3 6" xfId="2606" xr:uid="{00000000-0005-0000-0000-00004E1A0000}"/>
    <cellStyle name="Normal 5 3 4 3 6 2" xfId="6889" xr:uid="{00000000-0005-0000-0000-00004F1A0000}"/>
    <cellStyle name="Normal 5 3 4 3 6 2 2" xfId="15339" xr:uid="{51E9E7A8-C0AE-4619-A15E-3519DE16FDD6}"/>
    <cellStyle name="Normal 5 3 4 3 6 2 3" xfId="23779" xr:uid="{F3CCA9E4-D09E-4E99-9948-1893AFFE5EB1}"/>
    <cellStyle name="Normal 5 3 4 3 6 3" xfId="11121" xr:uid="{402E8261-CB1E-42B2-B9AD-F5971A31E7C6}"/>
    <cellStyle name="Normal 5 3 4 3 6 4" xfId="19562" xr:uid="{60451EDC-66C3-424B-970F-F637F733D557}"/>
    <cellStyle name="Normal 5 3 4 3 7" xfId="4824" xr:uid="{00000000-0005-0000-0000-0000501A0000}"/>
    <cellStyle name="Normal 5 3 4 3 7 2" xfId="13274" xr:uid="{D659985C-2BAB-41CC-93D0-270AED36DBC2}"/>
    <cellStyle name="Normal 5 3 4 3 7 3" xfId="21714" xr:uid="{12895EA4-F926-4244-811E-1AA5FA193100}"/>
    <cellStyle name="Normal 5 3 4 3 8" xfId="9056" xr:uid="{4D1D4494-5273-4FB1-A78C-FFC288BA875F}"/>
    <cellStyle name="Normal 5 3 4 3 9" xfId="17497" xr:uid="{DAFE46A7-DD6A-424D-B8D6-2AD714DC8A1F}"/>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C26AA632-26E5-4800-B9DD-D0451E086B6F}"/>
    <cellStyle name="Normal 5 3 4 4 2 2 3" xfId="24269" xr:uid="{47B62E7D-23F8-4DC4-9FED-DA66D2BC0E48}"/>
    <cellStyle name="Normal 5 3 4 4 2 3" xfId="11611" xr:uid="{9B485218-B9A4-4974-89E3-65C60D39E3D6}"/>
    <cellStyle name="Normal 5 3 4 4 2 4" xfId="20052" xr:uid="{6EF06A80-3853-433C-BC56-778CC844941D}"/>
    <cellStyle name="Normal 5 3 4 4 3" xfId="5234" xr:uid="{00000000-0005-0000-0000-0000541A0000}"/>
    <cellStyle name="Normal 5 3 4 4 3 2" xfId="13684" xr:uid="{F6C02CAB-95AF-4DE3-913F-93ACDA03997C}"/>
    <cellStyle name="Normal 5 3 4 4 3 3" xfId="22124" xr:uid="{36491542-74FA-496B-95D0-5A919090321C}"/>
    <cellStyle name="Normal 5 3 4 4 4" xfId="9466" xr:uid="{9C7F7C18-407B-45C0-931E-7292B4C80276}"/>
    <cellStyle name="Normal 5 3 4 4 5" xfId="17907" xr:uid="{E4DE00C1-0551-4EFB-B847-BA006D1DB78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B8E27E0B-4BE4-4443-949E-7B1BA27599AA}"/>
    <cellStyle name="Normal 5 3 4 5 2 2 3" xfId="24682" xr:uid="{67F0262D-062E-4FC1-8A11-5665A4FCF159}"/>
    <cellStyle name="Normal 5 3 4 5 2 3" xfId="12024" xr:uid="{4EB75931-4193-4DC1-B2D0-CAEDE276E8D1}"/>
    <cellStyle name="Normal 5 3 4 5 2 4" xfId="20465" xr:uid="{D942077A-E2D6-4336-81A3-2D0D7C69F4C9}"/>
    <cellStyle name="Normal 5 3 4 5 3" xfId="5647" xr:uid="{00000000-0005-0000-0000-0000581A0000}"/>
    <cellStyle name="Normal 5 3 4 5 3 2" xfId="14097" xr:uid="{EA298BD0-72C9-4FDB-87EB-BF584823AD12}"/>
    <cellStyle name="Normal 5 3 4 5 3 3" xfId="22537" xr:uid="{9115009E-63F8-408F-8F78-07592A228A26}"/>
    <cellStyle name="Normal 5 3 4 5 4" xfId="9879" xr:uid="{2DFE6FAA-C274-43AB-A719-F58CB3DC60AD}"/>
    <cellStyle name="Normal 5 3 4 5 5" xfId="18320" xr:uid="{823B10CB-7797-4577-8658-ED67C54C5AE3}"/>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1C82F6CA-DF4C-47A9-9F64-521665AF1670}"/>
    <cellStyle name="Normal 5 3 4 6 2 2 3" xfId="25095" xr:uid="{98CC973E-A3FB-48DF-8571-EF9B54F951D4}"/>
    <cellStyle name="Normal 5 3 4 6 2 3" xfId="12437" xr:uid="{67E0922F-9807-468E-87D9-2C434D7EAAE8}"/>
    <cellStyle name="Normal 5 3 4 6 2 4" xfId="20878" xr:uid="{A48C78DA-D784-4693-A12C-A089D1EABBAF}"/>
    <cellStyle name="Normal 5 3 4 6 3" xfId="6060" xr:uid="{00000000-0005-0000-0000-00005C1A0000}"/>
    <cellStyle name="Normal 5 3 4 6 3 2" xfId="14510" xr:uid="{DC9B263E-40E8-4B7C-9EAD-290E591EE658}"/>
    <cellStyle name="Normal 5 3 4 6 3 3" xfId="22950" xr:uid="{7244B5DA-FD46-405D-9E05-3E2E029FCF31}"/>
    <cellStyle name="Normal 5 3 4 6 4" xfId="10292" xr:uid="{0C3477F8-B5EF-42E0-8A87-0D6A9CA9838B}"/>
    <cellStyle name="Normal 5 3 4 6 5" xfId="18733" xr:uid="{6523E597-84DB-4F61-B833-13480BC45188}"/>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D387FD4-00E4-41BC-8937-5CB417DEE515}"/>
    <cellStyle name="Normal 5 3 4 7 2 2 3" xfId="25508" xr:uid="{CE95A5ED-0CA4-4C82-8114-3863CFD0EEF8}"/>
    <cellStyle name="Normal 5 3 4 7 2 3" xfId="12850" xr:uid="{5ECDF6FB-192E-400F-8575-CBC05C1C467C}"/>
    <cellStyle name="Normal 5 3 4 7 2 4" xfId="21291" xr:uid="{5BB39932-6681-4649-8944-DE217F84847D}"/>
    <cellStyle name="Normal 5 3 4 7 3" xfId="6473" xr:uid="{00000000-0005-0000-0000-0000601A0000}"/>
    <cellStyle name="Normal 5 3 4 7 3 2" xfId="14923" xr:uid="{AC88874E-7101-44FC-9AB9-960F3FA2A8CD}"/>
    <cellStyle name="Normal 5 3 4 7 3 3" xfId="23363" xr:uid="{3DA29340-E7B3-4754-A901-A9099076C7E4}"/>
    <cellStyle name="Normal 5 3 4 7 4" xfId="10705" xr:uid="{25426424-1C72-4B4D-9442-C5E437A0AD3C}"/>
    <cellStyle name="Normal 5 3 4 7 5" xfId="19146" xr:uid="{9A66A457-0298-4906-85F1-31D30B17B756}"/>
    <cellStyle name="Normal 5 3 4 8" xfId="2603" xr:uid="{00000000-0005-0000-0000-0000611A0000}"/>
    <cellStyle name="Normal 5 3 4 8 2" xfId="6886" xr:uid="{00000000-0005-0000-0000-0000621A0000}"/>
    <cellStyle name="Normal 5 3 4 8 2 2" xfId="15336" xr:uid="{321B8082-3379-4191-9FF6-C556C7D65A46}"/>
    <cellStyle name="Normal 5 3 4 8 2 3" xfId="23776" xr:uid="{9239B3B2-642A-4F28-9626-E8F5295F0335}"/>
    <cellStyle name="Normal 5 3 4 8 3" xfId="11118" xr:uid="{4B798D99-097E-4FDE-9BDA-9C4088017E52}"/>
    <cellStyle name="Normal 5 3 4 8 4" xfId="19559" xr:uid="{0A859234-9F0B-4706-B70D-7E8A3CECD00D}"/>
    <cellStyle name="Normal 5 3 4 9" xfId="4821" xr:uid="{00000000-0005-0000-0000-0000631A0000}"/>
    <cellStyle name="Normal 5 3 4 9 2" xfId="13271" xr:uid="{526872EE-86A9-4D8C-B1E5-BC91C0B52A67}"/>
    <cellStyle name="Normal 5 3 4 9 3" xfId="21711" xr:uid="{2876C49B-FE36-48D3-B28D-9DF1A704DCB9}"/>
    <cellStyle name="Normal 5 3 5" xfId="453" xr:uid="{00000000-0005-0000-0000-0000641A0000}"/>
    <cellStyle name="Normal 5 3 5 10" xfId="17498" xr:uid="{41083C2C-9B41-4575-9666-EBD414FB39F7}"/>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E603804E-1E06-45F2-8ABD-2215568B48FA}"/>
    <cellStyle name="Normal 5 3 5 2 2 2 2 3" xfId="24274" xr:uid="{58F439DB-E23C-4B83-BD7A-9D76D42CB846}"/>
    <cellStyle name="Normal 5 3 5 2 2 2 3" xfId="11616" xr:uid="{20C67EEF-DDEB-4254-93D7-9BB237573538}"/>
    <cellStyle name="Normal 5 3 5 2 2 2 4" xfId="20057" xr:uid="{81F86DB5-47FB-46F3-9F09-BF70685570E5}"/>
    <cellStyle name="Normal 5 3 5 2 2 3" xfId="5239" xr:uid="{00000000-0005-0000-0000-0000691A0000}"/>
    <cellStyle name="Normal 5 3 5 2 2 3 2" xfId="13689" xr:uid="{95CA3CD8-7570-45BD-A0E7-97156E675C80}"/>
    <cellStyle name="Normal 5 3 5 2 2 3 3" xfId="22129" xr:uid="{6A7C8F93-D5DA-4BC8-A9FA-82905253E4F8}"/>
    <cellStyle name="Normal 5 3 5 2 2 4" xfId="9471" xr:uid="{37353656-8CC9-4B61-985B-742905D6F575}"/>
    <cellStyle name="Normal 5 3 5 2 2 5" xfId="17912" xr:uid="{E7A46953-3EE2-4B10-A1C1-20324A0DBC6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58860515-373F-42B3-96B5-E3FC46D24436}"/>
    <cellStyle name="Normal 5 3 5 2 3 2 2 3" xfId="24687" xr:uid="{A12A5AD7-77CE-408D-A7DB-E35ECC25365F}"/>
    <cellStyle name="Normal 5 3 5 2 3 2 3" xfId="12029" xr:uid="{954BA5B9-19D3-4A9F-BAFF-F7529572BD90}"/>
    <cellStyle name="Normal 5 3 5 2 3 2 4" xfId="20470" xr:uid="{BB6DBACE-32C3-42F1-8CA6-24C19610BBBB}"/>
    <cellStyle name="Normal 5 3 5 2 3 3" xfId="5652" xr:uid="{00000000-0005-0000-0000-00006D1A0000}"/>
    <cellStyle name="Normal 5 3 5 2 3 3 2" xfId="14102" xr:uid="{7CCE8B2B-B399-4EEF-8D1C-8FB42429BBEF}"/>
    <cellStyle name="Normal 5 3 5 2 3 3 3" xfId="22542" xr:uid="{F1868493-B1E5-4EBE-A411-B63DBDA8B8BF}"/>
    <cellStyle name="Normal 5 3 5 2 3 4" xfId="9884" xr:uid="{6D927395-3BE0-4C8B-AE9C-229600D2666A}"/>
    <cellStyle name="Normal 5 3 5 2 3 5" xfId="18325" xr:uid="{79BDD0CE-4084-4799-AB48-D8A7BFC583D6}"/>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DC49CD3A-F8D1-4247-8959-7DBDDC6676E2}"/>
    <cellStyle name="Normal 5 3 5 2 4 2 2 3" xfId="25100" xr:uid="{B13EDB4C-C60C-4BEF-8846-0B38689D2EE2}"/>
    <cellStyle name="Normal 5 3 5 2 4 2 3" xfId="12442" xr:uid="{4D931AD8-EF46-487D-BED4-13CB205DFF3C}"/>
    <cellStyle name="Normal 5 3 5 2 4 2 4" xfId="20883" xr:uid="{135B68DF-DF49-4098-9C60-4BD6F3440295}"/>
    <cellStyle name="Normal 5 3 5 2 4 3" xfId="6065" xr:uid="{00000000-0005-0000-0000-0000711A0000}"/>
    <cellStyle name="Normal 5 3 5 2 4 3 2" xfId="14515" xr:uid="{9135319F-F227-47A9-83EC-EDF5DA6EB1C3}"/>
    <cellStyle name="Normal 5 3 5 2 4 3 3" xfId="22955" xr:uid="{4803E60E-41CF-4CBE-94C6-EF7F3273C441}"/>
    <cellStyle name="Normal 5 3 5 2 4 4" xfId="10297" xr:uid="{3CB76D42-2189-4DE9-B7D9-965DDE9F82F7}"/>
    <cellStyle name="Normal 5 3 5 2 4 5" xfId="18738" xr:uid="{7BC51403-AEFC-48BA-B8FF-96A86275B769}"/>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DF1C3C36-2591-46D9-93DF-16B04A160B87}"/>
    <cellStyle name="Normal 5 3 5 2 5 2 2 3" xfId="25513" xr:uid="{2540C726-2AE9-4AEA-BAB8-2B7CE8A84B28}"/>
    <cellStyle name="Normal 5 3 5 2 5 2 3" xfId="12855" xr:uid="{CDA1D011-3D11-4E39-8BA2-B0E168A0A7ED}"/>
    <cellStyle name="Normal 5 3 5 2 5 2 4" xfId="21296" xr:uid="{570BE031-AC3A-42E2-9217-AA183FD4C79B}"/>
    <cellStyle name="Normal 5 3 5 2 5 3" xfId="6478" xr:uid="{00000000-0005-0000-0000-0000751A0000}"/>
    <cellStyle name="Normal 5 3 5 2 5 3 2" xfId="14928" xr:uid="{C9B38A37-5229-4687-8363-D4ED2E40A55F}"/>
    <cellStyle name="Normal 5 3 5 2 5 3 3" xfId="23368" xr:uid="{FD04F4BD-3489-46BF-BE7B-84E6D4F8334C}"/>
    <cellStyle name="Normal 5 3 5 2 5 4" xfId="10710" xr:uid="{AA387C37-651F-4FB0-9146-027170EA6920}"/>
    <cellStyle name="Normal 5 3 5 2 5 5" xfId="19151" xr:uid="{A20B91AC-EAD3-4C85-98A7-B4C81B6AAF0B}"/>
    <cellStyle name="Normal 5 3 5 2 6" xfId="2608" xr:uid="{00000000-0005-0000-0000-0000761A0000}"/>
    <cellStyle name="Normal 5 3 5 2 6 2" xfId="6891" xr:uid="{00000000-0005-0000-0000-0000771A0000}"/>
    <cellStyle name="Normal 5 3 5 2 6 2 2" xfId="15341" xr:uid="{868EC244-15A8-4D3F-820E-A11CA5B6C1E8}"/>
    <cellStyle name="Normal 5 3 5 2 6 2 3" xfId="23781" xr:uid="{297BB498-3598-437F-B132-8276BA5A969B}"/>
    <cellStyle name="Normal 5 3 5 2 6 3" xfId="11123" xr:uid="{36EFF020-81B5-4FD8-B5FA-4B63AC105BAD}"/>
    <cellStyle name="Normal 5 3 5 2 6 4" xfId="19564" xr:uid="{DF9EA574-5674-48A3-BC88-D72D144437D7}"/>
    <cellStyle name="Normal 5 3 5 2 7" xfId="4826" xr:uid="{00000000-0005-0000-0000-0000781A0000}"/>
    <cellStyle name="Normal 5 3 5 2 7 2" xfId="13276" xr:uid="{93C5EEA5-CC54-4446-8C9D-86B5F0E37FA9}"/>
    <cellStyle name="Normal 5 3 5 2 7 3" xfId="21716" xr:uid="{EF29A6D1-0747-48CF-BF7D-DECFCCCC3C8C}"/>
    <cellStyle name="Normal 5 3 5 2 8" xfId="9058" xr:uid="{99C81488-5786-41F7-A669-13C2F523F165}"/>
    <cellStyle name="Normal 5 3 5 2 9" xfId="17499" xr:uid="{B996FE20-8E35-4A81-A764-29CD82712DDE}"/>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9688921C-DA1D-4321-AB6E-DA220972831E}"/>
    <cellStyle name="Normal 5 3 5 3 2 2 3" xfId="24273" xr:uid="{94FDB26F-7E3B-42C3-AF0F-D659D2EDA7AE}"/>
    <cellStyle name="Normal 5 3 5 3 2 3" xfId="11615" xr:uid="{F4A30E43-298E-4127-9D49-EAB4465A70E2}"/>
    <cellStyle name="Normal 5 3 5 3 2 4" xfId="20056" xr:uid="{4542C158-8B5E-4AE5-90B5-6D25F1BF615E}"/>
    <cellStyle name="Normal 5 3 5 3 3" xfId="5238" xr:uid="{00000000-0005-0000-0000-00007C1A0000}"/>
    <cellStyle name="Normal 5 3 5 3 3 2" xfId="13688" xr:uid="{0C359588-6757-40C3-ABF5-2C9B77E324A1}"/>
    <cellStyle name="Normal 5 3 5 3 3 3" xfId="22128" xr:uid="{8B782769-DF8A-454E-90B3-83BF112F2E95}"/>
    <cellStyle name="Normal 5 3 5 3 4" xfId="9470" xr:uid="{49DE46A2-F86B-4E53-B9CA-3437943DCBF7}"/>
    <cellStyle name="Normal 5 3 5 3 5" xfId="17911" xr:uid="{D75D7EB3-E538-46D4-9CC1-895ED2B79E9A}"/>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CDD0F107-5C29-4009-B5DD-3189762CEA43}"/>
    <cellStyle name="Normal 5 3 5 4 2 2 3" xfId="24686" xr:uid="{C34A2FDF-DA91-484E-A7DF-CCFE41246C99}"/>
    <cellStyle name="Normal 5 3 5 4 2 3" xfId="12028" xr:uid="{46A14EBA-257F-4B82-9B95-D2EECC05DD36}"/>
    <cellStyle name="Normal 5 3 5 4 2 4" xfId="20469" xr:uid="{9C8EB89F-F19A-410F-BD5E-A4A0EA1F8132}"/>
    <cellStyle name="Normal 5 3 5 4 3" xfId="5651" xr:uid="{00000000-0005-0000-0000-0000801A0000}"/>
    <cellStyle name="Normal 5 3 5 4 3 2" xfId="14101" xr:uid="{839AF374-2FDE-4570-B4C3-0C51692287F2}"/>
    <cellStyle name="Normal 5 3 5 4 3 3" xfId="22541" xr:uid="{02128A7B-4788-4718-A9A7-B11081BDD8A0}"/>
    <cellStyle name="Normal 5 3 5 4 4" xfId="9883" xr:uid="{FEC31EA6-BE71-4FF5-B6FF-634D118E80C5}"/>
    <cellStyle name="Normal 5 3 5 4 5" xfId="18324" xr:uid="{4F5A685B-4495-4249-A685-2A9DB8A4DCBD}"/>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8945CEEC-DDBC-4FCD-A38B-DA89469AB169}"/>
    <cellStyle name="Normal 5 3 5 5 2 2 3" xfId="25099" xr:uid="{56E594DE-3CBC-40BD-8B61-CBA5EA454003}"/>
    <cellStyle name="Normal 5 3 5 5 2 3" xfId="12441" xr:uid="{507DA809-79F9-4FBB-908F-023464AA74FA}"/>
    <cellStyle name="Normal 5 3 5 5 2 4" xfId="20882" xr:uid="{2890B44B-1C9F-4153-9BAA-0BBF08AB520A}"/>
    <cellStyle name="Normal 5 3 5 5 3" xfId="6064" xr:uid="{00000000-0005-0000-0000-0000841A0000}"/>
    <cellStyle name="Normal 5 3 5 5 3 2" xfId="14514" xr:uid="{3DA4DAFC-39EB-4B0A-83B7-5CDC7E4AB0B5}"/>
    <cellStyle name="Normal 5 3 5 5 3 3" xfId="22954" xr:uid="{E00F896D-C118-412F-A510-054FDC9B2BE8}"/>
    <cellStyle name="Normal 5 3 5 5 4" xfId="10296" xr:uid="{34A0EF68-8132-4B43-9040-317C447F6336}"/>
    <cellStyle name="Normal 5 3 5 5 5" xfId="18737" xr:uid="{15F8ACB5-B26F-411E-B09F-3D47BADFD663}"/>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4E9C0E7A-B0A1-4041-A33A-4EE33A9CD8D6}"/>
    <cellStyle name="Normal 5 3 5 6 2 2 3" xfId="25512" xr:uid="{B7DB8445-C325-40D4-81F7-FA1B1D089FF2}"/>
    <cellStyle name="Normal 5 3 5 6 2 3" xfId="12854" xr:uid="{24EA9FC1-3CA3-4389-87CF-1A9E7D80E12A}"/>
    <cellStyle name="Normal 5 3 5 6 2 4" xfId="21295" xr:uid="{8129BCDA-D6BC-46FE-BA9B-25E94D4E3F96}"/>
    <cellStyle name="Normal 5 3 5 6 3" xfId="6477" xr:uid="{00000000-0005-0000-0000-0000881A0000}"/>
    <cellStyle name="Normal 5 3 5 6 3 2" xfId="14927" xr:uid="{162CC982-AF01-48AC-B9CB-5EB6362B16FC}"/>
    <cellStyle name="Normal 5 3 5 6 3 3" xfId="23367" xr:uid="{81428AE9-AA9F-454D-BA1B-842BFB7558FE}"/>
    <cellStyle name="Normal 5 3 5 6 4" xfId="10709" xr:uid="{2F6BFA92-8511-4BFD-8FCC-53F4EF4D4FF7}"/>
    <cellStyle name="Normal 5 3 5 6 5" xfId="19150" xr:uid="{55212B7B-CD65-4565-ACDD-10F7A1D74002}"/>
    <cellStyle name="Normal 5 3 5 7" xfId="2607" xr:uid="{00000000-0005-0000-0000-0000891A0000}"/>
    <cellStyle name="Normal 5 3 5 7 2" xfId="6890" xr:uid="{00000000-0005-0000-0000-00008A1A0000}"/>
    <cellStyle name="Normal 5 3 5 7 2 2" xfId="15340" xr:uid="{281552DA-3406-4EB5-9E82-DE5E2BFDEEF2}"/>
    <cellStyle name="Normal 5 3 5 7 2 3" xfId="23780" xr:uid="{08888AC8-9957-4DB5-954E-3B38350C42C4}"/>
    <cellStyle name="Normal 5 3 5 7 3" xfId="11122" xr:uid="{6CB8194F-9A8C-45AB-871D-A60734EC49B4}"/>
    <cellStyle name="Normal 5 3 5 7 4" xfId="19563" xr:uid="{60C695CB-738E-472A-BA87-9C701DE7997A}"/>
    <cellStyle name="Normal 5 3 5 8" xfId="4825" xr:uid="{00000000-0005-0000-0000-00008B1A0000}"/>
    <cellStyle name="Normal 5 3 5 8 2" xfId="13275" xr:uid="{3412DC88-39AA-4F97-8261-C2F54EC602E5}"/>
    <cellStyle name="Normal 5 3 5 8 3" xfId="21715" xr:uid="{BEF53F04-368B-45C2-85C1-F62F22329838}"/>
    <cellStyle name="Normal 5 3 5 9" xfId="9057" xr:uid="{5B308BD1-5F6D-491D-BA00-F144134A879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92ADCC5C-CBE8-428F-A6D8-BDFF70885EAF}"/>
    <cellStyle name="Normal 5 3 6 2 2 2 3" xfId="24275" xr:uid="{7E054552-68EC-4F43-889F-D11D297682AA}"/>
    <cellStyle name="Normal 5 3 6 2 2 3" xfId="11617" xr:uid="{6BB6D0D5-A45F-4B94-BB1E-D07E0ABC5F4D}"/>
    <cellStyle name="Normal 5 3 6 2 2 4" xfId="20058" xr:uid="{83D81566-56B6-4498-AF22-3003A54CBFC9}"/>
    <cellStyle name="Normal 5 3 6 2 3" xfId="5240" xr:uid="{00000000-0005-0000-0000-0000901A0000}"/>
    <cellStyle name="Normal 5 3 6 2 3 2" xfId="13690" xr:uid="{3DADF556-69CB-4A12-807C-A584198D0D5D}"/>
    <cellStyle name="Normal 5 3 6 2 3 3" xfId="22130" xr:uid="{1F30AE46-17A3-4D78-A337-F2DB4CF66825}"/>
    <cellStyle name="Normal 5 3 6 2 4" xfId="9472" xr:uid="{2031E6EB-99AE-4A2F-AC60-57660C5682D3}"/>
    <cellStyle name="Normal 5 3 6 2 5" xfId="17913" xr:uid="{F836301F-1ABE-4937-9F8C-86A656DDC38F}"/>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3F5045A0-0542-4815-85F8-B8672FC4662B}"/>
    <cellStyle name="Normal 5 3 6 3 2 2 3" xfId="24688" xr:uid="{EEC35258-6E63-4944-A725-F88DE00D9CD4}"/>
    <cellStyle name="Normal 5 3 6 3 2 3" xfId="12030" xr:uid="{9D84FAAC-CC49-4636-95D0-1F47716A0B9C}"/>
    <cellStyle name="Normal 5 3 6 3 2 4" xfId="20471" xr:uid="{39C1BBB9-5284-4C89-8DB5-086C7788EFD9}"/>
    <cellStyle name="Normal 5 3 6 3 3" xfId="5653" xr:uid="{00000000-0005-0000-0000-0000941A0000}"/>
    <cellStyle name="Normal 5 3 6 3 3 2" xfId="14103" xr:uid="{85F0B639-30A6-45C5-95C3-A30FED831FDF}"/>
    <cellStyle name="Normal 5 3 6 3 3 3" xfId="22543" xr:uid="{69E01301-4AE1-425F-865A-F01706392700}"/>
    <cellStyle name="Normal 5 3 6 3 4" xfId="9885" xr:uid="{06BC52B9-1D43-4FC1-901E-62C9BB1A7948}"/>
    <cellStyle name="Normal 5 3 6 3 5" xfId="18326" xr:uid="{3A60A0F5-DEC3-4F9F-981E-CF83006B3F67}"/>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CBE3C8D1-5BAE-4C52-B73F-AB54A82CB65F}"/>
    <cellStyle name="Normal 5 3 6 4 2 2 3" xfId="25101" xr:uid="{F76E405D-B9D5-4B83-BF15-6A3040AFB14D}"/>
    <cellStyle name="Normal 5 3 6 4 2 3" xfId="12443" xr:uid="{27795734-8DF5-454B-BA41-EAE1EC77903B}"/>
    <cellStyle name="Normal 5 3 6 4 2 4" xfId="20884" xr:uid="{BBDC564F-E8CE-4E2E-9FFF-29415371435C}"/>
    <cellStyle name="Normal 5 3 6 4 3" xfId="6066" xr:uid="{00000000-0005-0000-0000-0000981A0000}"/>
    <cellStyle name="Normal 5 3 6 4 3 2" xfId="14516" xr:uid="{11921E50-E1CE-48A2-BFEB-69F903D104C6}"/>
    <cellStyle name="Normal 5 3 6 4 3 3" xfId="22956" xr:uid="{ADA33995-0D51-433E-884F-B66DD196454C}"/>
    <cellStyle name="Normal 5 3 6 4 4" xfId="10298" xr:uid="{C414BAA4-F9EB-4C4B-A67A-FF78658DB82C}"/>
    <cellStyle name="Normal 5 3 6 4 5" xfId="18739" xr:uid="{4997AC90-4895-48DB-809E-7BE5A9682DB5}"/>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AFC9F3AC-3696-472A-9AB1-25E7049F33BE}"/>
    <cellStyle name="Normal 5 3 6 5 2 2 3" xfId="25514" xr:uid="{8E1FE3A8-5FD4-48C8-A195-200FDCF9FC3F}"/>
    <cellStyle name="Normal 5 3 6 5 2 3" xfId="12856" xr:uid="{AE9885AE-3FA7-4F62-98BB-5B77E5B82A34}"/>
    <cellStyle name="Normal 5 3 6 5 2 4" xfId="21297" xr:uid="{AA1F94DA-C7C7-486C-884F-67060DABDA39}"/>
    <cellStyle name="Normal 5 3 6 5 3" xfId="6479" xr:uid="{00000000-0005-0000-0000-00009C1A0000}"/>
    <cellStyle name="Normal 5 3 6 5 3 2" xfId="14929" xr:uid="{82A337B9-9CA7-4A43-BDD6-5386F48C4E0F}"/>
    <cellStyle name="Normal 5 3 6 5 3 3" xfId="23369" xr:uid="{49B1661E-15F5-4A7C-B166-39E002A45A57}"/>
    <cellStyle name="Normal 5 3 6 5 4" xfId="10711" xr:uid="{5A6B2AD8-7D13-49EC-A515-D8C436AC0222}"/>
    <cellStyle name="Normal 5 3 6 5 5" xfId="19152" xr:uid="{38E8035A-0BAD-4113-A298-5F575EC3BC41}"/>
    <cellStyle name="Normal 5 3 6 6" xfId="2609" xr:uid="{00000000-0005-0000-0000-00009D1A0000}"/>
    <cellStyle name="Normal 5 3 6 6 2" xfId="6892" xr:uid="{00000000-0005-0000-0000-00009E1A0000}"/>
    <cellStyle name="Normal 5 3 6 6 2 2" xfId="15342" xr:uid="{B5E1CC4A-A9C9-4626-8131-BAF595FC0719}"/>
    <cellStyle name="Normal 5 3 6 6 2 3" xfId="23782" xr:uid="{6B62C4FF-4C5D-4114-96C1-070FCC8DBE47}"/>
    <cellStyle name="Normal 5 3 6 6 3" xfId="11124" xr:uid="{A8D27643-A287-4541-88FA-C56F1ABC1173}"/>
    <cellStyle name="Normal 5 3 6 6 4" xfId="19565" xr:uid="{2EA7EF6F-8744-4F29-A7E3-E0BAC1C461B4}"/>
    <cellStyle name="Normal 5 3 6 7" xfId="4827" xr:uid="{00000000-0005-0000-0000-00009F1A0000}"/>
    <cellStyle name="Normal 5 3 6 7 2" xfId="13277" xr:uid="{FF89E536-767B-4387-AEFF-2908B72C3065}"/>
    <cellStyle name="Normal 5 3 6 7 3" xfId="21717" xr:uid="{1FB9616E-54AC-426E-B9A0-599604CDED9F}"/>
    <cellStyle name="Normal 5 3 6 8" xfId="9059" xr:uid="{78FEA48B-7862-469C-B6D7-19C98CA979E6}"/>
    <cellStyle name="Normal 5 3 6 9" xfId="17500" xr:uid="{C2612E31-EB51-4A32-888A-0704AF7D3316}"/>
    <cellStyle name="Normal 5 3 7" xfId="913" xr:uid="{00000000-0005-0000-0000-0000A01A0000}"/>
    <cellStyle name="Normal 5 3 7 2" xfId="3148" xr:uid="{00000000-0005-0000-0000-0000A11A0000}"/>
    <cellStyle name="Normal 5 3 7 2 2" xfId="7370" xr:uid="{00000000-0005-0000-0000-0000A21A0000}"/>
    <cellStyle name="Normal 5 3 7 2 2 2" xfId="15820" xr:uid="{322F8C90-FE84-404D-97D9-B33FD187FD82}"/>
    <cellStyle name="Normal 5 3 7 2 2 3" xfId="24260" xr:uid="{C9AED64A-E224-4F85-B6B9-10FCF3D739DB}"/>
    <cellStyle name="Normal 5 3 7 2 3" xfId="11602" xr:uid="{BC844B7E-A9D8-4CA1-85B6-34E7A73F7D25}"/>
    <cellStyle name="Normal 5 3 7 2 4" xfId="20043" xr:uid="{87A5D525-C9C9-4003-A899-8C6AEF57421D}"/>
    <cellStyle name="Normal 5 3 7 3" xfId="5225" xr:uid="{00000000-0005-0000-0000-0000A31A0000}"/>
    <cellStyle name="Normal 5 3 7 3 2" xfId="13675" xr:uid="{1CC8B900-0571-4812-BC0D-170982380B04}"/>
    <cellStyle name="Normal 5 3 7 3 3" xfId="22115" xr:uid="{3964F209-840A-4126-8689-4F0948A18A20}"/>
    <cellStyle name="Normal 5 3 7 4" xfId="9457" xr:uid="{21DA757E-53D3-40BF-BF5E-6B2BBF3D152C}"/>
    <cellStyle name="Normal 5 3 7 5" xfId="17898" xr:uid="{6991E653-1F75-4C50-852F-1175F7AF7FA4}"/>
    <cellStyle name="Normal 5 3 8" xfId="1331" xr:uid="{00000000-0005-0000-0000-0000A41A0000}"/>
    <cellStyle name="Normal 5 3 8 2" xfId="3561" xr:uid="{00000000-0005-0000-0000-0000A51A0000}"/>
    <cellStyle name="Normal 5 3 8 2 2" xfId="7783" xr:uid="{00000000-0005-0000-0000-0000A61A0000}"/>
    <cellStyle name="Normal 5 3 8 2 2 2" xfId="16233" xr:uid="{9EA8541A-29E6-4322-A530-3C65B7079BCC}"/>
    <cellStyle name="Normal 5 3 8 2 2 3" xfId="24673" xr:uid="{F35DCF9B-3FDE-4082-A47E-B47BB803BB89}"/>
    <cellStyle name="Normal 5 3 8 2 3" xfId="12015" xr:uid="{A73C7E22-792E-4392-ACB5-C6C949B86AEE}"/>
    <cellStyle name="Normal 5 3 8 2 4" xfId="20456" xr:uid="{2538BBB1-0617-4818-93A9-3C51B67F890D}"/>
    <cellStyle name="Normal 5 3 8 3" xfId="5638" xr:uid="{00000000-0005-0000-0000-0000A71A0000}"/>
    <cellStyle name="Normal 5 3 8 3 2" xfId="14088" xr:uid="{B917D6A3-30EB-4423-9B69-3CA9047F21F6}"/>
    <cellStyle name="Normal 5 3 8 3 3" xfId="22528" xr:uid="{5178B7D4-06CC-4752-A848-FBDFC99B1E1F}"/>
    <cellStyle name="Normal 5 3 8 4" xfId="9870" xr:uid="{B00FB8FA-77D1-4215-9F9E-C2868A670B67}"/>
    <cellStyle name="Normal 5 3 8 5" xfId="18311" xr:uid="{4038137A-6A09-4ECF-AC94-B5673F942BB3}"/>
    <cellStyle name="Normal 5 3 9" xfId="1744" xr:uid="{00000000-0005-0000-0000-0000A81A0000}"/>
    <cellStyle name="Normal 5 3 9 2" xfId="3974" xr:uid="{00000000-0005-0000-0000-0000A91A0000}"/>
    <cellStyle name="Normal 5 3 9 2 2" xfId="8196" xr:uid="{00000000-0005-0000-0000-0000AA1A0000}"/>
    <cellStyle name="Normal 5 3 9 2 2 2" xfId="16646" xr:uid="{454BB15B-BD55-464F-AAD8-C6BFB6572732}"/>
    <cellStyle name="Normal 5 3 9 2 2 3" xfId="25086" xr:uid="{2E28D310-63DA-4183-B1C7-64DD22816750}"/>
    <cellStyle name="Normal 5 3 9 2 3" xfId="12428" xr:uid="{734BC85F-C569-472E-B753-E8C2F818FC12}"/>
    <cellStyle name="Normal 5 3 9 2 4" xfId="20869" xr:uid="{6676063D-E2CA-4830-9266-70AEC6DE702F}"/>
    <cellStyle name="Normal 5 3 9 3" xfId="6051" xr:uid="{00000000-0005-0000-0000-0000AB1A0000}"/>
    <cellStyle name="Normal 5 3 9 3 2" xfId="14501" xr:uid="{3645B2B7-02CC-4FC6-A51D-D52467DFDFD0}"/>
    <cellStyle name="Normal 5 3 9 3 3" xfId="22941" xr:uid="{66E36E00-3C25-4E05-9F76-CC2B455930F9}"/>
    <cellStyle name="Normal 5 3 9 4" xfId="10283" xr:uid="{C7598A06-0D23-465A-A8E4-5AB466F4C89C}"/>
    <cellStyle name="Normal 5 3 9 5" xfId="18724" xr:uid="{08A9277E-E6D3-4E99-B0EF-29CFC9AFE9EC}"/>
    <cellStyle name="Normal 5 4" xfId="456" xr:uid="{00000000-0005-0000-0000-0000AC1A0000}"/>
    <cellStyle name="Normal 5 4 10" xfId="4828" xr:uid="{00000000-0005-0000-0000-0000AD1A0000}"/>
    <cellStyle name="Normal 5 4 10 2" xfId="13278" xr:uid="{36594D0B-3334-4B63-A90D-EB6D09AD4E65}"/>
    <cellStyle name="Normal 5 4 10 3" xfId="21718" xr:uid="{E661538C-67AF-4FD4-BFCD-39CF1710741E}"/>
    <cellStyle name="Normal 5 4 11" xfId="9060" xr:uid="{4820B00E-F892-49D1-92DA-CD4E59307BD1}"/>
    <cellStyle name="Normal 5 4 12" xfId="17501" xr:uid="{8E3429A8-9A91-4F25-A935-07D33AC18D15}"/>
    <cellStyle name="Normal 5 4 2" xfId="457" xr:uid="{00000000-0005-0000-0000-0000AE1A0000}"/>
    <cellStyle name="Normal 5 4 2 10" xfId="9061" xr:uid="{1CC79B4E-22DD-4857-B25D-6202EEF4AE60}"/>
    <cellStyle name="Normal 5 4 2 11" xfId="17502" xr:uid="{11F38092-EC45-48FF-88BF-25D3A4BDC7CC}"/>
    <cellStyle name="Normal 5 4 2 2" xfId="458" xr:uid="{00000000-0005-0000-0000-0000AF1A0000}"/>
    <cellStyle name="Normal 5 4 2 2 10" xfId="17503" xr:uid="{2138D371-7ADD-456B-A68B-E848CC1E07DF}"/>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8C10DF1C-4A35-472D-AB03-A2EE5C9DADC4}"/>
    <cellStyle name="Normal 5 4 2 2 2 2 2 2 3" xfId="24279" xr:uid="{59B59F97-0CC6-4007-8DB7-7396E05A3C8C}"/>
    <cellStyle name="Normal 5 4 2 2 2 2 2 3" xfId="11621" xr:uid="{8B9563DE-14E9-42CD-8501-A3DBB9901685}"/>
    <cellStyle name="Normal 5 4 2 2 2 2 2 4" xfId="20062" xr:uid="{0D33F21E-5667-48AD-9334-E954C4840AE9}"/>
    <cellStyle name="Normal 5 4 2 2 2 2 3" xfId="5244" xr:uid="{00000000-0005-0000-0000-0000B41A0000}"/>
    <cellStyle name="Normal 5 4 2 2 2 2 3 2" xfId="13694" xr:uid="{A3DF9FC0-1522-4445-8E98-F8B235221BE3}"/>
    <cellStyle name="Normal 5 4 2 2 2 2 3 3" xfId="22134" xr:uid="{55E2D623-C4FE-462E-8D10-29DD6164FB2E}"/>
    <cellStyle name="Normal 5 4 2 2 2 2 4" xfId="9476" xr:uid="{47481678-AA9B-4B23-A5F3-98C53FA625B3}"/>
    <cellStyle name="Normal 5 4 2 2 2 2 5" xfId="17917" xr:uid="{5E06BA9C-6E43-4803-83D4-52A131C27B25}"/>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6D695D41-B2F2-497A-878A-59E6091DCE20}"/>
    <cellStyle name="Normal 5 4 2 2 2 3 2 2 3" xfId="24692" xr:uid="{7A06352C-6C80-4BF4-B56F-6C885124144D}"/>
    <cellStyle name="Normal 5 4 2 2 2 3 2 3" xfId="12034" xr:uid="{479A6179-49F7-4329-8711-B61323730738}"/>
    <cellStyle name="Normal 5 4 2 2 2 3 2 4" xfId="20475" xr:uid="{5F06D37B-D7A1-4FEE-9ADD-0FF64523EFFB}"/>
    <cellStyle name="Normal 5 4 2 2 2 3 3" xfId="5657" xr:uid="{00000000-0005-0000-0000-0000B81A0000}"/>
    <cellStyle name="Normal 5 4 2 2 2 3 3 2" xfId="14107" xr:uid="{A2C75123-C1BF-41B3-BFC1-515BED180154}"/>
    <cellStyle name="Normal 5 4 2 2 2 3 3 3" xfId="22547" xr:uid="{F6CEDA8E-287E-4697-92E3-AC2E536CB56E}"/>
    <cellStyle name="Normal 5 4 2 2 2 3 4" xfId="9889" xr:uid="{3C896E67-BDF6-4075-959C-D64068DB45F6}"/>
    <cellStyle name="Normal 5 4 2 2 2 3 5" xfId="18330" xr:uid="{6C9EE51B-A0DE-45AA-86A8-8EE8E93B78DB}"/>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DEF04CF6-CEE0-4C4A-AE09-7D824789E198}"/>
    <cellStyle name="Normal 5 4 2 2 2 4 2 2 3" xfId="25105" xr:uid="{ABCBCF1C-6C21-4C7C-9525-8965F9E9F70F}"/>
    <cellStyle name="Normal 5 4 2 2 2 4 2 3" xfId="12447" xr:uid="{CE229A0E-1143-4B3B-BC05-F86B93583559}"/>
    <cellStyle name="Normal 5 4 2 2 2 4 2 4" xfId="20888" xr:uid="{851278F0-0E75-4C1B-AD98-C786A6DECC50}"/>
    <cellStyle name="Normal 5 4 2 2 2 4 3" xfId="6070" xr:uid="{00000000-0005-0000-0000-0000BC1A0000}"/>
    <cellStyle name="Normal 5 4 2 2 2 4 3 2" xfId="14520" xr:uid="{5CC2C626-3D0F-48E6-8343-A124C0D741AC}"/>
    <cellStyle name="Normal 5 4 2 2 2 4 3 3" xfId="22960" xr:uid="{D07A852A-6447-4E50-9087-EBA7D4F3896F}"/>
    <cellStyle name="Normal 5 4 2 2 2 4 4" xfId="10302" xr:uid="{B3B685AE-0BD9-493C-B2E5-5CC29E3E2E3E}"/>
    <cellStyle name="Normal 5 4 2 2 2 4 5" xfId="18743" xr:uid="{9610B077-A450-4757-8C65-6B1F45F14261}"/>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247A591A-F483-4A6C-9782-AEB2B8491705}"/>
    <cellStyle name="Normal 5 4 2 2 2 5 2 2 3" xfId="25518" xr:uid="{7CC81D5E-60A2-47C6-8E3D-172BC1612EA0}"/>
    <cellStyle name="Normal 5 4 2 2 2 5 2 3" xfId="12860" xr:uid="{E5EFB034-32E9-4B82-B1AC-9713887C94E9}"/>
    <cellStyle name="Normal 5 4 2 2 2 5 2 4" xfId="21301" xr:uid="{24BF9021-7B21-44EE-A88C-A1D8881B8546}"/>
    <cellStyle name="Normal 5 4 2 2 2 5 3" xfId="6483" xr:uid="{00000000-0005-0000-0000-0000C01A0000}"/>
    <cellStyle name="Normal 5 4 2 2 2 5 3 2" xfId="14933" xr:uid="{49039120-4237-439B-9DBE-C93B195867A2}"/>
    <cellStyle name="Normal 5 4 2 2 2 5 3 3" xfId="23373" xr:uid="{7F44961F-9480-41B0-ACC0-9DC6D19D184D}"/>
    <cellStyle name="Normal 5 4 2 2 2 5 4" xfId="10715" xr:uid="{C83DDA6F-9262-4C76-A300-0539FEF3B297}"/>
    <cellStyle name="Normal 5 4 2 2 2 5 5" xfId="19156" xr:uid="{4981FC12-7A9C-43F6-A9A5-80F976903A10}"/>
    <cellStyle name="Normal 5 4 2 2 2 6" xfId="2613" xr:uid="{00000000-0005-0000-0000-0000C11A0000}"/>
    <cellStyle name="Normal 5 4 2 2 2 6 2" xfId="6896" xr:uid="{00000000-0005-0000-0000-0000C21A0000}"/>
    <cellStyle name="Normal 5 4 2 2 2 6 2 2" xfId="15346" xr:uid="{096A8BA3-2D7B-4410-9A92-62BF2B724FC4}"/>
    <cellStyle name="Normal 5 4 2 2 2 6 2 3" xfId="23786" xr:uid="{A5689D67-8D64-4453-A52E-A8C6C109E78A}"/>
    <cellStyle name="Normal 5 4 2 2 2 6 3" xfId="11128" xr:uid="{47E0523D-60E8-4F30-B79D-E29FA6118971}"/>
    <cellStyle name="Normal 5 4 2 2 2 6 4" xfId="19569" xr:uid="{93298023-55D8-4A03-9912-495EA042DE20}"/>
    <cellStyle name="Normal 5 4 2 2 2 7" xfId="4831" xr:uid="{00000000-0005-0000-0000-0000C31A0000}"/>
    <cellStyle name="Normal 5 4 2 2 2 7 2" xfId="13281" xr:uid="{E9F235B5-9FCA-4368-8F69-CF6BE0485260}"/>
    <cellStyle name="Normal 5 4 2 2 2 7 3" xfId="21721" xr:uid="{B2F5CCEA-EA37-4C36-BA9B-D700E761DF32}"/>
    <cellStyle name="Normal 5 4 2 2 2 8" xfId="9063" xr:uid="{C1E188C1-DCD0-400D-9353-5038E4A213EA}"/>
    <cellStyle name="Normal 5 4 2 2 2 9" xfId="17504" xr:uid="{934D4754-6CBC-4165-8304-C8BDBBDB2600}"/>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6A8EB7FD-0A51-413F-929C-BDE857F720F0}"/>
    <cellStyle name="Normal 5 4 2 2 3 2 2 3" xfId="24278" xr:uid="{9BEE26C7-2BF4-4739-9371-DA46939D748C}"/>
    <cellStyle name="Normal 5 4 2 2 3 2 3" xfId="11620" xr:uid="{00EF9288-5331-4CA9-B50C-43D434C53F0B}"/>
    <cellStyle name="Normal 5 4 2 2 3 2 4" xfId="20061" xr:uid="{9BD17663-DE2B-44F3-B2D1-80BFD0981F8D}"/>
    <cellStyle name="Normal 5 4 2 2 3 3" xfId="5243" xr:uid="{00000000-0005-0000-0000-0000C71A0000}"/>
    <cellStyle name="Normal 5 4 2 2 3 3 2" xfId="13693" xr:uid="{836F13CF-9CCF-4798-9AEB-69DBBFB5F1A3}"/>
    <cellStyle name="Normal 5 4 2 2 3 3 3" xfId="22133" xr:uid="{61796876-C988-44EA-A7FB-C14382F2DB4A}"/>
    <cellStyle name="Normal 5 4 2 2 3 4" xfId="9475" xr:uid="{C41E42C7-2FE1-4501-B8A1-2C4C3B99207C}"/>
    <cellStyle name="Normal 5 4 2 2 3 5" xfId="17916" xr:uid="{DEA38596-C989-4C5B-B579-4B52E0237E68}"/>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97F37EF4-6C24-4602-8886-404B6C8E734D}"/>
    <cellStyle name="Normal 5 4 2 2 4 2 2 3" xfId="24691" xr:uid="{CE4909B4-9467-4D57-9F17-FAAF277278A9}"/>
    <cellStyle name="Normal 5 4 2 2 4 2 3" xfId="12033" xr:uid="{B660CCBD-2361-4159-8741-F12851211E71}"/>
    <cellStyle name="Normal 5 4 2 2 4 2 4" xfId="20474" xr:uid="{4B36AEA5-4ACC-4071-AB22-AD9924B5595C}"/>
    <cellStyle name="Normal 5 4 2 2 4 3" xfId="5656" xr:uid="{00000000-0005-0000-0000-0000CB1A0000}"/>
    <cellStyle name="Normal 5 4 2 2 4 3 2" xfId="14106" xr:uid="{81B98240-3335-48F6-A6A0-4045D7354B89}"/>
    <cellStyle name="Normal 5 4 2 2 4 3 3" xfId="22546" xr:uid="{B75CAF55-3E8C-406C-B9C2-FB2F85407BD0}"/>
    <cellStyle name="Normal 5 4 2 2 4 4" xfId="9888" xr:uid="{63559BC1-6E17-4E3B-B703-5EA9BCEC8A5E}"/>
    <cellStyle name="Normal 5 4 2 2 4 5" xfId="18329" xr:uid="{0997290B-4ACB-4349-A165-BB85145D16F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C108C432-900A-4065-8CEB-96380A0DE05A}"/>
    <cellStyle name="Normal 5 4 2 2 5 2 2 3" xfId="25104" xr:uid="{1C085C62-182C-4B05-B18D-48BA70332D96}"/>
    <cellStyle name="Normal 5 4 2 2 5 2 3" xfId="12446" xr:uid="{E9805E4C-7D3C-4B5B-8344-E8DBE42E190E}"/>
    <cellStyle name="Normal 5 4 2 2 5 2 4" xfId="20887" xr:uid="{1D96B155-903B-4FB9-8FA6-FCDD6E082717}"/>
    <cellStyle name="Normal 5 4 2 2 5 3" xfId="6069" xr:uid="{00000000-0005-0000-0000-0000CF1A0000}"/>
    <cellStyle name="Normal 5 4 2 2 5 3 2" xfId="14519" xr:uid="{D3495ED8-3835-4D7B-9E0A-A23C9B5B5726}"/>
    <cellStyle name="Normal 5 4 2 2 5 3 3" xfId="22959" xr:uid="{06396962-ABD6-404C-9FEE-8877BB251A66}"/>
    <cellStyle name="Normal 5 4 2 2 5 4" xfId="10301" xr:uid="{DFD7E29A-8112-4C77-86E9-7880B57EE17B}"/>
    <cellStyle name="Normal 5 4 2 2 5 5" xfId="18742" xr:uid="{4B7532DD-9A2F-4B65-B457-8DAC377E7AD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EDFB58CB-FA2A-4E8D-BA08-837F3C114DA0}"/>
    <cellStyle name="Normal 5 4 2 2 6 2 2 3" xfId="25517" xr:uid="{1B60B3D5-10B7-43D8-B34C-FB7D60BC0B71}"/>
    <cellStyle name="Normal 5 4 2 2 6 2 3" xfId="12859" xr:uid="{3FF7B816-567E-4924-9C00-20C9896F3DA6}"/>
    <cellStyle name="Normal 5 4 2 2 6 2 4" xfId="21300" xr:uid="{8F6396BC-3306-40FE-8292-0F0F624F370D}"/>
    <cellStyle name="Normal 5 4 2 2 6 3" xfId="6482" xr:uid="{00000000-0005-0000-0000-0000D31A0000}"/>
    <cellStyle name="Normal 5 4 2 2 6 3 2" xfId="14932" xr:uid="{41035BAA-4963-4A47-8712-85E2BAF1BF49}"/>
    <cellStyle name="Normal 5 4 2 2 6 3 3" xfId="23372" xr:uid="{0B597ECB-0A65-49C6-8D23-8BC1FBB7B20C}"/>
    <cellStyle name="Normal 5 4 2 2 6 4" xfId="10714" xr:uid="{E64A1C69-0DE4-4290-963C-D0AFA7D12F15}"/>
    <cellStyle name="Normal 5 4 2 2 6 5" xfId="19155" xr:uid="{EAD3F427-85D9-4B32-B554-D0F9CE1F3C22}"/>
    <cellStyle name="Normal 5 4 2 2 7" xfId="2612" xr:uid="{00000000-0005-0000-0000-0000D41A0000}"/>
    <cellStyle name="Normal 5 4 2 2 7 2" xfId="6895" xr:uid="{00000000-0005-0000-0000-0000D51A0000}"/>
    <cellStyle name="Normal 5 4 2 2 7 2 2" xfId="15345" xr:uid="{3CD1DCDE-39BF-4390-A895-7E65FA27DE76}"/>
    <cellStyle name="Normal 5 4 2 2 7 2 3" xfId="23785" xr:uid="{5E78F46A-5D8C-441A-A312-5AB48B31419B}"/>
    <cellStyle name="Normal 5 4 2 2 7 3" xfId="11127" xr:uid="{C77182D0-C649-46B1-BDB0-1565BD08EB51}"/>
    <cellStyle name="Normal 5 4 2 2 7 4" xfId="19568" xr:uid="{C876D6F7-40C1-4059-ABEE-32E89F7EB9B9}"/>
    <cellStyle name="Normal 5 4 2 2 8" xfId="4830" xr:uid="{00000000-0005-0000-0000-0000D61A0000}"/>
    <cellStyle name="Normal 5 4 2 2 8 2" xfId="13280" xr:uid="{9609F2DE-D46D-4A61-96DB-5A20939AD249}"/>
    <cellStyle name="Normal 5 4 2 2 8 3" xfId="21720" xr:uid="{69A9D001-0AE7-4AC4-AEDB-8EDF2861ADCD}"/>
    <cellStyle name="Normal 5 4 2 2 9" xfId="9062" xr:uid="{3A82E820-D922-48F5-A7BC-402E5305D6F8}"/>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434CCE0E-DBAD-4D62-880F-658E7F289636}"/>
    <cellStyle name="Normal 5 4 2 3 2 2 2 3" xfId="24280" xr:uid="{5C9D7ADF-FBD4-47F4-8319-3040194187E4}"/>
    <cellStyle name="Normal 5 4 2 3 2 2 3" xfId="11622" xr:uid="{48DCF29B-C670-4107-8D0E-A64E1F229AA1}"/>
    <cellStyle name="Normal 5 4 2 3 2 2 4" xfId="20063" xr:uid="{5E08E9C5-875E-431F-92FF-33D42F44EE12}"/>
    <cellStyle name="Normal 5 4 2 3 2 3" xfId="5245" xr:uid="{00000000-0005-0000-0000-0000DB1A0000}"/>
    <cellStyle name="Normal 5 4 2 3 2 3 2" xfId="13695" xr:uid="{65DC770B-E586-4092-84B1-A52D152683C4}"/>
    <cellStyle name="Normal 5 4 2 3 2 3 3" xfId="22135" xr:uid="{4D9A021E-3637-4AC9-84E3-AFDE8D68743E}"/>
    <cellStyle name="Normal 5 4 2 3 2 4" xfId="9477" xr:uid="{98556FA3-59A5-4445-881E-8638A47DA62A}"/>
    <cellStyle name="Normal 5 4 2 3 2 5" xfId="17918" xr:uid="{DDA4D472-7704-48E4-9AAB-20494F178D2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628978E8-0E2E-4776-B4F0-64969EFFEAF3}"/>
    <cellStyle name="Normal 5 4 2 3 3 2 2 3" xfId="24693" xr:uid="{932A2969-8424-4156-94D8-671A596E6345}"/>
    <cellStyle name="Normal 5 4 2 3 3 2 3" xfId="12035" xr:uid="{1CAFDA08-877D-43BE-8B4A-252B76290B95}"/>
    <cellStyle name="Normal 5 4 2 3 3 2 4" xfId="20476" xr:uid="{91A5E55F-D743-4C12-B239-4459201CB07F}"/>
    <cellStyle name="Normal 5 4 2 3 3 3" xfId="5658" xr:uid="{00000000-0005-0000-0000-0000DF1A0000}"/>
    <cellStyle name="Normal 5 4 2 3 3 3 2" xfId="14108" xr:uid="{0CE3AE1B-BEE7-4BCC-89A0-C9809348B278}"/>
    <cellStyle name="Normal 5 4 2 3 3 3 3" xfId="22548" xr:uid="{410B0099-F86B-43BF-8D62-5D2A517A856F}"/>
    <cellStyle name="Normal 5 4 2 3 3 4" xfId="9890" xr:uid="{974AE7AE-F341-401F-8AB3-B107D183CAAC}"/>
    <cellStyle name="Normal 5 4 2 3 3 5" xfId="18331" xr:uid="{9EAF102A-8C92-4E35-B2AF-0009CB26EDC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0057C41D-A6A0-45FD-807F-856640789AF2}"/>
    <cellStyle name="Normal 5 4 2 3 4 2 2 3" xfId="25106" xr:uid="{AB32DD9D-A4BE-41AC-9851-2832A4A6BCA3}"/>
    <cellStyle name="Normal 5 4 2 3 4 2 3" xfId="12448" xr:uid="{324C5FA2-FE5B-48BC-9F84-1857C7713935}"/>
    <cellStyle name="Normal 5 4 2 3 4 2 4" xfId="20889" xr:uid="{A510C339-A77E-4823-A29E-5DCA9FAC96EB}"/>
    <cellStyle name="Normal 5 4 2 3 4 3" xfId="6071" xr:uid="{00000000-0005-0000-0000-0000E31A0000}"/>
    <cellStyle name="Normal 5 4 2 3 4 3 2" xfId="14521" xr:uid="{9F6D8CCD-9092-44BF-A66A-79B85CE078FB}"/>
    <cellStyle name="Normal 5 4 2 3 4 3 3" xfId="22961" xr:uid="{AC648D53-7AEA-4502-82EC-36B9591E65E2}"/>
    <cellStyle name="Normal 5 4 2 3 4 4" xfId="10303" xr:uid="{6C73927E-93AE-44A9-945D-44BE4C732E4B}"/>
    <cellStyle name="Normal 5 4 2 3 4 5" xfId="18744" xr:uid="{E5148EFB-15A5-490E-BC14-EFD89FB2CE7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2DEF31B3-8B24-402F-83FA-4B13453A8153}"/>
    <cellStyle name="Normal 5 4 2 3 5 2 2 3" xfId="25519" xr:uid="{B70736B4-01B2-4D5F-8F0A-6FEC389C77AA}"/>
    <cellStyle name="Normal 5 4 2 3 5 2 3" xfId="12861" xr:uid="{A5CB0129-7706-4075-9F2C-02D731B78899}"/>
    <cellStyle name="Normal 5 4 2 3 5 2 4" xfId="21302" xr:uid="{C09FF5B7-6D74-4539-B139-C1EC4031C81B}"/>
    <cellStyle name="Normal 5 4 2 3 5 3" xfId="6484" xr:uid="{00000000-0005-0000-0000-0000E71A0000}"/>
    <cellStyle name="Normal 5 4 2 3 5 3 2" xfId="14934" xr:uid="{1BF2CC47-C177-4B5E-A7F2-6AB9215D2FF9}"/>
    <cellStyle name="Normal 5 4 2 3 5 3 3" xfId="23374" xr:uid="{4CAA477E-5D72-404C-8B2A-3A63FED849C8}"/>
    <cellStyle name="Normal 5 4 2 3 5 4" xfId="10716" xr:uid="{5B3223B9-0D7E-4B9B-8B60-DDAF55992B81}"/>
    <cellStyle name="Normal 5 4 2 3 5 5" xfId="19157" xr:uid="{87B72A7E-39A6-46D0-A041-4E9B327957EB}"/>
    <cellStyle name="Normal 5 4 2 3 6" xfId="2614" xr:uid="{00000000-0005-0000-0000-0000E81A0000}"/>
    <cellStyle name="Normal 5 4 2 3 6 2" xfId="6897" xr:uid="{00000000-0005-0000-0000-0000E91A0000}"/>
    <cellStyle name="Normal 5 4 2 3 6 2 2" xfId="15347" xr:uid="{C13B3642-9F2D-4471-8051-4EE92EC03121}"/>
    <cellStyle name="Normal 5 4 2 3 6 2 3" xfId="23787" xr:uid="{1FF71F6E-749D-4043-97E1-186AA8D1C68F}"/>
    <cellStyle name="Normal 5 4 2 3 6 3" xfId="11129" xr:uid="{50DAB9F2-AD85-46A0-80D4-E38F7C0E3949}"/>
    <cellStyle name="Normal 5 4 2 3 6 4" xfId="19570" xr:uid="{6A5B15A7-8B7F-4B22-BA82-431CE06999A9}"/>
    <cellStyle name="Normal 5 4 2 3 7" xfId="4832" xr:uid="{00000000-0005-0000-0000-0000EA1A0000}"/>
    <cellStyle name="Normal 5 4 2 3 7 2" xfId="13282" xr:uid="{ADB300FF-E98A-4DA2-92CE-C7FFD2CB8B91}"/>
    <cellStyle name="Normal 5 4 2 3 7 3" xfId="21722" xr:uid="{FEF3F171-0EA2-4C82-B73D-60E16826BF0C}"/>
    <cellStyle name="Normal 5 4 2 3 8" xfId="9064" xr:uid="{2EB0D23C-0745-458A-B128-6488571FC412}"/>
    <cellStyle name="Normal 5 4 2 3 9" xfId="17505" xr:uid="{47AB48E7-E54A-4275-9795-BD243B3CD3F0}"/>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F9A33296-BA88-436F-BF5E-240E6A04E755}"/>
    <cellStyle name="Normal 5 4 2 4 2 2 3" xfId="24277" xr:uid="{6B2569AB-9FD7-4C22-AA5D-29E1E2A4F019}"/>
    <cellStyle name="Normal 5 4 2 4 2 3" xfId="11619" xr:uid="{31C2C471-1D1C-4981-A321-269C869F9AD5}"/>
    <cellStyle name="Normal 5 4 2 4 2 4" xfId="20060" xr:uid="{C98B0268-9E69-4304-B861-95B273DB4958}"/>
    <cellStyle name="Normal 5 4 2 4 3" xfId="5242" xr:uid="{00000000-0005-0000-0000-0000EE1A0000}"/>
    <cellStyle name="Normal 5 4 2 4 3 2" xfId="13692" xr:uid="{F16CCD47-29B2-4BE9-8BE0-DA82981E9F42}"/>
    <cellStyle name="Normal 5 4 2 4 3 3" xfId="22132" xr:uid="{B27368F0-8308-4BD5-9BD8-7BAE52102EB0}"/>
    <cellStyle name="Normal 5 4 2 4 4" xfId="9474" xr:uid="{10537C9B-5749-4E3D-8770-2FFE5458E152}"/>
    <cellStyle name="Normal 5 4 2 4 5" xfId="17915" xr:uid="{E8FD769C-8316-4B6A-9219-0FE9F652765E}"/>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E7CE7DDF-7C45-4D9D-8560-79AE7239C1CD}"/>
    <cellStyle name="Normal 5 4 2 5 2 2 3" xfId="24690" xr:uid="{106ED565-4A02-442F-ACCA-8CB34FFF09F3}"/>
    <cellStyle name="Normal 5 4 2 5 2 3" xfId="12032" xr:uid="{A60EE650-B114-4DC4-935F-DB7008BA6CF1}"/>
    <cellStyle name="Normal 5 4 2 5 2 4" xfId="20473" xr:uid="{455ED506-ADD3-4382-9F5E-850521824C36}"/>
    <cellStyle name="Normal 5 4 2 5 3" xfId="5655" xr:uid="{00000000-0005-0000-0000-0000F21A0000}"/>
    <cellStyle name="Normal 5 4 2 5 3 2" xfId="14105" xr:uid="{2C9AC194-718D-40E7-B30F-0BB56F56042B}"/>
    <cellStyle name="Normal 5 4 2 5 3 3" xfId="22545" xr:uid="{C6CD6A27-AA4A-41AE-9DEC-8D1B1F5DEA15}"/>
    <cellStyle name="Normal 5 4 2 5 4" xfId="9887" xr:uid="{63C1C477-2AA8-4C89-A76F-3A537CFAEE14}"/>
    <cellStyle name="Normal 5 4 2 5 5" xfId="18328" xr:uid="{CB06C65C-C3A9-4224-95AB-9E20D2CB33B7}"/>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618854F2-563A-4C9C-8B0F-65D6A2778103}"/>
    <cellStyle name="Normal 5 4 2 6 2 2 3" xfId="25103" xr:uid="{9A595796-6AA4-4823-A0CB-9EA1AEDD8046}"/>
    <cellStyle name="Normal 5 4 2 6 2 3" xfId="12445" xr:uid="{4CBA3880-B429-4552-B88D-7A498D4EFCCC}"/>
    <cellStyle name="Normal 5 4 2 6 2 4" xfId="20886" xr:uid="{8BE5988E-BDE9-4960-A79F-DEDAEB1B8CD4}"/>
    <cellStyle name="Normal 5 4 2 6 3" xfId="6068" xr:uid="{00000000-0005-0000-0000-0000F61A0000}"/>
    <cellStyle name="Normal 5 4 2 6 3 2" xfId="14518" xr:uid="{4580C151-AA9A-4B9D-9BA6-7D7E30172C87}"/>
    <cellStyle name="Normal 5 4 2 6 3 3" xfId="22958" xr:uid="{DD03E7F5-128C-44B2-9DC4-F63A662865F5}"/>
    <cellStyle name="Normal 5 4 2 6 4" xfId="10300" xr:uid="{D6DB3FDD-ED15-4D3D-A467-35498A05B087}"/>
    <cellStyle name="Normal 5 4 2 6 5" xfId="18741" xr:uid="{560EBC6D-759D-4D0C-88B1-B67FEF578DCA}"/>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4690BE32-3422-4B28-A5D8-FF07EA120BCB}"/>
    <cellStyle name="Normal 5 4 2 7 2 2 3" xfId="25516" xr:uid="{16C0267C-7212-4E38-B10C-57DEB9DEA0C4}"/>
    <cellStyle name="Normal 5 4 2 7 2 3" xfId="12858" xr:uid="{C008DD03-5928-4B3C-A554-E46C39896E1C}"/>
    <cellStyle name="Normal 5 4 2 7 2 4" xfId="21299" xr:uid="{8E21F73C-73F7-4427-9C68-B410C02E5EEB}"/>
    <cellStyle name="Normal 5 4 2 7 3" xfId="6481" xr:uid="{00000000-0005-0000-0000-0000FA1A0000}"/>
    <cellStyle name="Normal 5 4 2 7 3 2" xfId="14931" xr:uid="{38DC758D-4320-4D72-A0DA-762CF4396215}"/>
    <cellStyle name="Normal 5 4 2 7 3 3" xfId="23371" xr:uid="{86F031C1-6521-48D8-A019-44A1265BE994}"/>
    <cellStyle name="Normal 5 4 2 7 4" xfId="10713" xr:uid="{0F1372B8-2541-4D2D-9F6D-E0B79E394B47}"/>
    <cellStyle name="Normal 5 4 2 7 5" xfId="19154" xr:uid="{5FD48EF4-B3AE-4119-891E-BE682018F63D}"/>
    <cellStyle name="Normal 5 4 2 8" xfId="2611" xr:uid="{00000000-0005-0000-0000-0000FB1A0000}"/>
    <cellStyle name="Normal 5 4 2 8 2" xfId="6894" xr:uid="{00000000-0005-0000-0000-0000FC1A0000}"/>
    <cellStyle name="Normal 5 4 2 8 2 2" xfId="15344" xr:uid="{1B721D8B-8525-437B-B246-12A4699E4310}"/>
    <cellStyle name="Normal 5 4 2 8 2 3" xfId="23784" xr:uid="{F57948FB-494F-494E-8F4A-C708D79E6A65}"/>
    <cellStyle name="Normal 5 4 2 8 3" xfId="11126" xr:uid="{6D763743-34C8-4F12-8487-C7C59DB7DAEA}"/>
    <cellStyle name="Normal 5 4 2 8 4" xfId="19567" xr:uid="{817B9984-316F-463C-A409-53168BF4287B}"/>
    <cellStyle name="Normal 5 4 2 9" xfId="4829" xr:uid="{00000000-0005-0000-0000-0000FD1A0000}"/>
    <cellStyle name="Normal 5 4 2 9 2" xfId="13279" xr:uid="{63E03154-6CC2-4C7C-AEF6-7B64BF83C6B7}"/>
    <cellStyle name="Normal 5 4 2 9 3" xfId="21719" xr:uid="{F1771AB0-2134-4068-A0E2-5F76E0590024}"/>
    <cellStyle name="Normal 5 4 3" xfId="461" xr:uid="{00000000-0005-0000-0000-0000FE1A0000}"/>
    <cellStyle name="Normal 5 4 3 10" xfId="17506" xr:uid="{4F9507EA-860D-4845-8384-A3CED10B1E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A3FD7AC9-3160-4A13-8A1F-3C897CF7F991}"/>
    <cellStyle name="Normal 5 4 3 2 2 2 2 3" xfId="24282" xr:uid="{73CB259A-5914-4AB9-AE98-41884D2C9A89}"/>
    <cellStyle name="Normal 5 4 3 2 2 2 3" xfId="11624" xr:uid="{C073A9CC-4A60-4994-8C0B-82C9D5072C50}"/>
    <cellStyle name="Normal 5 4 3 2 2 2 4" xfId="20065" xr:uid="{892DA002-777D-4495-944A-CEB68347B783}"/>
    <cellStyle name="Normal 5 4 3 2 2 3" xfId="5247" xr:uid="{00000000-0005-0000-0000-0000031B0000}"/>
    <cellStyle name="Normal 5 4 3 2 2 3 2" xfId="13697" xr:uid="{93D8D6A6-FB30-4712-AC1C-AEE0FD5F053D}"/>
    <cellStyle name="Normal 5 4 3 2 2 3 3" xfId="22137" xr:uid="{2BCB3620-37B1-4C0D-9CF2-0B781E685D86}"/>
    <cellStyle name="Normal 5 4 3 2 2 4" xfId="9479" xr:uid="{D69D3E98-250A-4B23-B9F6-32865B4E1ADC}"/>
    <cellStyle name="Normal 5 4 3 2 2 5" xfId="17920" xr:uid="{9F14329D-A7D7-4427-84E3-C631E55E4800}"/>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8E0AE848-79A4-403A-A922-D607A2728751}"/>
    <cellStyle name="Normal 5 4 3 2 3 2 2 3" xfId="24695" xr:uid="{3943CEAC-1F61-4AE0-8D25-20389FE2289B}"/>
    <cellStyle name="Normal 5 4 3 2 3 2 3" xfId="12037" xr:uid="{39CAA04F-FD06-4BF1-9ABB-B741C75ADF88}"/>
    <cellStyle name="Normal 5 4 3 2 3 2 4" xfId="20478" xr:uid="{6CCE700B-8EA5-4E7F-9401-793AE731CF83}"/>
    <cellStyle name="Normal 5 4 3 2 3 3" xfId="5660" xr:uid="{00000000-0005-0000-0000-0000071B0000}"/>
    <cellStyle name="Normal 5 4 3 2 3 3 2" xfId="14110" xr:uid="{40ADE8E3-54E9-4C39-9F52-9EBE61C2C30A}"/>
    <cellStyle name="Normal 5 4 3 2 3 3 3" xfId="22550" xr:uid="{77C76099-3E82-48B7-B68C-AEDA09442297}"/>
    <cellStyle name="Normal 5 4 3 2 3 4" xfId="9892" xr:uid="{9F0829E5-126E-46CB-8AF1-5882677DCEB5}"/>
    <cellStyle name="Normal 5 4 3 2 3 5" xfId="18333" xr:uid="{EE46D8D5-900E-4E72-AC6A-6DA3756E9E9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4B3624EE-06F5-44AB-A396-9D649FD7E0FC}"/>
    <cellStyle name="Normal 5 4 3 2 4 2 2 3" xfId="25108" xr:uid="{76DEE850-D640-4056-AF80-8D384164DB27}"/>
    <cellStyle name="Normal 5 4 3 2 4 2 3" xfId="12450" xr:uid="{1C67F7B8-B622-4327-B063-D20A2183CBE9}"/>
    <cellStyle name="Normal 5 4 3 2 4 2 4" xfId="20891" xr:uid="{17846318-4D80-4A5F-87CB-3FCFF4FBF8E9}"/>
    <cellStyle name="Normal 5 4 3 2 4 3" xfId="6073" xr:uid="{00000000-0005-0000-0000-00000B1B0000}"/>
    <cellStyle name="Normal 5 4 3 2 4 3 2" xfId="14523" xr:uid="{EC41C93A-4ABF-42DB-82CA-962624653698}"/>
    <cellStyle name="Normal 5 4 3 2 4 3 3" xfId="22963" xr:uid="{9D7DE4CE-606C-46B4-AF76-E7C949AA3AF3}"/>
    <cellStyle name="Normal 5 4 3 2 4 4" xfId="10305" xr:uid="{C3ECAACE-C400-4D16-81E2-4339C9A4F4ED}"/>
    <cellStyle name="Normal 5 4 3 2 4 5" xfId="18746" xr:uid="{69462E2A-4888-4E06-9DA0-BF09DFA6ACA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886A3ED8-97FF-4F22-B86A-F6DAF625F887}"/>
    <cellStyle name="Normal 5 4 3 2 5 2 2 3" xfId="25521" xr:uid="{BB9EBFA2-C1FF-4EDD-AFDC-9BD83A54E7FF}"/>
    <cellStyle name="Normal 5 4 3 2 5 2 3" xfId="12863" xr:uid="{5B5E087A-4BC7-4413-BDBA-92FBC646A319}"/>
    <cellStyle name="Normal 5 4 3 2 5 2 4" xfId="21304" xr:uid="{169365E4-39E7-4D3F-A66F-4E092A604210}"/>
    <cellStyle name="Normal 5 4 3 2 5 3" xfId="6486" xr:uid="{00000000-0005-0000-0000-00000F1B0000}"/>
    <cellStyle name="Normal 5 4 3 2 5 3 2" xfId="14936" xr:uid="{26CFF7E7-2AF5-42A2-AB3C-FFCE7FAB2957}"/>
    <cellStyle name="Normal 5 4 3 2 5 3 3" xfId="23376" xr:uid="{12567C13-014C-4DBE-8939-D1AE0BDE7C8D}"/>
    <cellStyle name="Normal 5 4 3 2 5 4" xfId="10718" xr:uid="{86EF4429-DC3A-4F91-A4D6-8A5ECC5C196A}"/>
    <cellStyle name="Normal 5 4 3 2 5 5" xfId="19159" xr:uid="{2E21B153-6AC3-4AD2-9CF4-0CFE23E820A4}"/>
    <cellStyle name="Normal 5 4 3 2 6" xfId="2616" xr:uid="{00000000-0005-0000-0000-0000101B0000}"/>
    <cellStyle name="Normal 5 4 3 2 6 2" xfId="6899" xr:uid="{00000000-0005-0000-0000-0000111B0000}"/>
    <cellStyle name="Normal 5 4 3 2 6 2 2" xfId="15349" xr:uid="{C39AA0C7-D87F-4EB4-B455-73CB9D087D43}"/>
    <cellStyle name="Normal 5 4 3 2 6 2 3" xfId="23789" xr:uid="{FF8DC1A4-DA10-40A5-9C71-5ACC77BB0D5A}"/>
    <cellStyle name="Normal 5 4 3 2 6 3" xfId="11131" xr:uid="{6939A22F-2302-4962-9001-E29D05462D20}"/>
    <cellStyle name="Normal 5 4 3 2 6 4" xfId="19572" xr:uid="{863FEE67-571F-4FCD-B0D2-A177EF18A53A}"/>
    <cellStyle name="Normal 5 4 3 2 7" xfId="4834" xr:uid="{00000000-0005-0000-0000-0000121B0000}"/>
    <cellStyle name="Normal 5 4 3 2 7 2" xfId="13284" xr:uid="{EC7C3C8B-6B37-4DFE-9DAB-AB10D9FCF906}"/>
    <cellStyle name="Normal 5 4 3 2 7 3" xfId="21724" xr:uid="{859B9772-95CB-4AD5-9D8C-117953BD4A98}"/>
    <cellStyle name="Normal 5 4 3 2 8" xfId="9066" xr:uid="{5F039A8D-D8AF-4191-BD57-48ED4E75020E}"/>
    <cellStyle name="Normal 5 4 3 2 9" xfId="17507" xr:uid="{E3D9915E-8841-4B00-A6FD-0372E105AA3C}"/>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ED72560F-250C-47E2-89E6-1351292E23D1}"/>
    <cellStyle name="Normal 5 4 3 3 2 2 3" xfId="24281" xr:uid="{2E65F6E3-39A4-431F-9027-B73063F334B7}"/>
    <cellStyle name="Normal 5 4 3 3 2 3" xfId="11623" xr:uid="{30FC4465-C1F0-47E1-8FC9-880BEA9D3307}"/>
    <cellStyle name="Normal 5 4 3 3 2 4" xfId="20064" xr:uid="{07D55FAD-67E4-4E42-A306-ABF9F00DB108}"/>
    <cellStyle name="Normal 5 4 3 3 3" xfId="5246" xr:uid="{00000000-0005-0000-0000-0000161B0000}"/>
    <cellStyle name="Normal 5 4 3 3 3 2" xfId="13696" xr:uid="{5A0A7B9E-903F-4FC6-B52F-3DEB76985915}"/>
    <cellStyle name="Normal 5 4 3 3 3 3" xfId="22136" xr:uid="{5F8D5E15-4C3C-4042-99AB-EE71015FD0B7}"/>
    <cellStyle name="Normal 5 4 3 3 4" xfId="9478" xr:uid="{9962789A-EA78-4072-8D21-7A37ADC250FD}"/>
    <cellStyle name="Normal 5 4 3 3 5" xfId="17919" xr:uid="{FC9784EF-1CD1-4C74-8322-3A1B19C11EDB}"/>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0BCB09BB-72DA-4085-A4EB-6B8A34398CD2}"/>
    <cellStyle name="Normal 5 4 3 4 2 2 3" xfId="24694" xr:uid="{1558FE3C-64C0-455F-B1B8-5C43E7FAE83A}"/>
    <cellStyle name="Normal 5 4 3 4 2 3" xfId="12036" xr:uid="{3009D6DE-0636-463A-B68C-ADDE219331B4}"/>
    <cellStyle name="Normal 5 4 3 4 2 4" xfId="20477" xr:uid="{29E1B864-0857-4D9A-B7CB-C49FAE54501A}"/>
    <cellStyle name="Normal 5 4 3 4 3" xfId="5659" xr:uid="{00000000-0005-0000-0000-00001A1B0000}"/>
    <cellStyle name="Normal 5 4 3 4 3 2" xfId="14109" xr:uid="{1DA43066-D681-4BF2-BCF7-5D6C49C718A9}"/>
    <cellStyle name="Normal 5 4 3 4 3 3" xfId="22549" xr:uid="{31198C58-CF90-4856-8BF5-5A12A0FCE056}"/>
    <cellStyle name="Normal 5 4 3 4 4" xfId="9891" xr:uid="{4463E7F9-DE39-4FB0-98B5-7D9079BFF935}"/>
    <cellStyle name="Normal 5 4 3 4 5" xfId="18332" xr:uid="{272C9658-1335-413E-B58B-C31C359AA6A2}"/>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7A30F0DC-C7F0-41BD-83B1-BBC162D1A884}"/>
    <cellStyle name="Normal 5 4 3 5 2 2 3" xfId="25107" xr:uid="{9DD2D698-7B5E-4B1E-852F-2A66517A0670}"/>
    <cellStyle name="Normal 5 4 3 5 2 3" xfId="12449" xr:uid="{001754B3-C179-4759-9378-95E1AFA6C66E}"/>
    <cellStyle name="Normal 5 4 3 5 2 4" xfId="20890" xr:uid="{891FBE5C-4A28-4C05-89C5-72CA92935428}"/>
    <cellStyle name="Normal 5 4 3 5 3" xfId="6072" xr:uid="{00000000-0005-0000-0000-00001E1B0000}"/>
    <cellStyle name="Normal 5 4 3 5 3 2" xfId="14522" xr:uid="{FC8880E5-F124-4AFB-A80A-57C5759C8E96}"/>
    <cellStyle name="Normal 5 4 3 5 3 3" xfId="22962" xr:uid="{0A01182F-09F7-4B83-94EF-49E6B47A0CF2}"/>
    <cellStyle name="Normal 5 4 3 5 4" xfId="10304" xr:uid="{54EBA88F-850E-4CAE-82BB-205AC41787A6}"/>
    <cellStyle name="Normal 5 4 3 5 5" xfId="18745" xr:uid="{C0E6DE5E-7F06-44F8-8F5F-6456DD99B6F2}"/>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5B8CC56B-1BC3-467F-9197-42C7E1644A90}"/>
    <cellStyle name="Normal 5 4 3 6 2 2 3" xfId="25520" xr:uid="{87D7C170-9DD3-47C7-9873-8E2C3C65CBE4}"/>
    <cellStyle name="Normal 5 4 3 6 2 3" xfId="12862" xr:uid="{53220FAE-8B54-46E0-B4A6-692362E57735}"/>
    <cellStyle name="Normal 5 4 3 6 2 4" xfId="21303" xr:uid="{E356F7F6-6DC3-48B1-929B-734991BC68DB}"/>
    <cellStyle name="Normal 5 4 3 6 3" xfId="6485" xr:uid="{00000000-0005-0000-0000-0000221B0000}"/>
    <cellStyle name="Normal 5 4 3 6 3 2" xfId="14935" xr:uid="{983D1EE5-3363-470B-AEAA-B4219C6B6ED2}"/>
    <cellStyle name="Normal 5 4 3 6 3 3" xfId="23375" xr:uid="{3E492C4B-D5FD-4412-A3D9-FD85E7C77D57}"/>
    <cellStyle name="Normal 5 4 3 6 4" xfId="10717" xr:uid="{EF792932-6568-4E67-988C-E0F125704777}"/>
    <cellStyle name="Normal 5 4 3 6 5" xfId="19158" xr:uid="{4916BC9A-CBD2-4953-83D8-5A8E3216FEDF}"/>
    <cellStyle name="Normal 5 4 3 7" xfId="2615" xr:uid="{00000000-0005-0000-0000-0000231B0000}"/>
    <cellStyle name="Normal 5 4 3 7 2" xfId="6898" xr:uid="{00000000-0005-0000-0000-0000241B0000}"/>
    <cellStyle name="Normal 5 4 3 7 2 2" xfId="15348" xr:uid="{71FE097F-CEE2-4AF2-808D-121E449B132D}"/>
    <cellStyle name="Normal 5 4 3 7 2 3" xfId="23788" xr:uid="{DE9DCAFF-F2E4-4BBD-8621-2954523AE0CA}"/>
    <cellStyle name="Normal 5 4 3 7 3" xfId="11130" xr:uid="{C4F56FA7-01A6-42A9-B365-56561D3CA23C}"/>
    <cellStyle name="Normal 5 4 3 7 4" xfId="19571" xr:uid="{2FA17368-023F-47D0-8DB8-26B76633D5F3}"/>
    <cellStyle name="Normal 5 4 3 8" xfId="4833" xr:uid="{00000000-0005-0000-0000-0000251B0000}"/>
    <cellStyle name="Normal 5 4 3 8 2" xfId="13283" xr:uid="{087DE3D3-F7F2-425B-83CA-7CE0F955D8FC}"/>
    <cellStyle name="Normal 5 4 3 8 3" xfId="21723" xr:uid="{F9F06470-96A5-4C65-A427-626705BC00C2}"/>
    <cellStyle name="Normal 5 4 3 9" xfId="9065" xr:uid="{1C228BC5-DF6C-482E-97ED-B77B516AEEBC}"/>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AB14540A-8538-4F2D-920C-D7E1EDE9A51E}"/>
    <cellStyle name="Normal 5 4 4 2 2 2 3" xfId="24283" xr:uid="{27A2FF8F-400B-4563-8872-7D3FC417CA87}"/>
    <cellStyle name="Normal 5 4 4 2 2 3" xfId="11625" xr:uid="{F41A0DEA-1FE5-4156-95F0-1E4663E47C87}"/>
    <cellStyle name="Normal 5 4 4 2 2 4" xfId="20066" xr:uid="{5F0B46C3-E82E-4C86-81E1-9C9C1A8BA984}"/>
    <cellStyle name="Normal 5 4 4 2 3" xfId="5248" xr:uid="{00000000-0005-0000-0000-00002A1B0000}"/>
    <cellStyle name="Normal 5 4 4 2 3 2" xfId="13698" xr:uid="{8CA44576-8949-4694-8570-EAE45F3763E8}"/>
    <cellStyle name="Normal 5 4 4 2 3 3" xfId="22138" xr:uid="{54C26661-132D-4C30-940D-D8533E57D1F3}"/>
    <cellStyle name="Normal 5 4 4 2 4" xfId="9480" xr:uid="{35141DAB-606B-49BF-A169-E1A0CD6E2805}"/>
    <cellStyle name="Normal 5 4 4 2 5" xfId="17921" xr:uid="{53532037-E604-4F7D-8CF9-D9466CB51A48}"/>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0A8CFD06-5926-429D-9C7A-B68C6ABDEB99}"/>
    <cellStyle name="Normal 5 4 4 3 2 2 3" xfId="24696" xr:uid="{834AA7F8-1F31-4A15-8AE0-0EEE1E4A728B}"/>
    <cellStyle name="Normal 5 4 4 3 2 3" xfId="12038" xr:uid="{7CAA04FD-2E56-4B70-8A95-D4867A97CDCB}"/>
    <cellStyle name="Normal 5 4 4 3 2 4" xfId="20479" xr:uid="{2D8F0659-5B93-4B7C-B67B-E5343ADEDB9E}"/>
    <cellStyle name="Normal 5 4 4 3 3" xfId="5661" xr:uid="{00000000-0005-0000-0000-00002E1B0000}"/>
    <cellStyle name="Normal 5 4 4 3 3 2" xfId="14111" xr:uid="{5429C5C7-B539-47AD-B2E7-25E21148C60E}"/>
    <cellStyle name="Normal 5 4 4 3 3 3" xfId="22551" xr:uid="{2F4B6BDA-2CD6-4A14-BDFA-C9F1B9DE6A83}"/>
    <cellStyle name="Normal 5 4 4 3 4" xfId="9893" xr:uid="{7E0F1249-F780-4E36-A5A6-78D7AD0408D9}"/>
    <cellStyle name="Normal 5 4 4 3 5" xfId="18334" xr:uid="{77DDD9C3-E400-4316-9420-0637438335A1}"/>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160F8782-97A3-4330-BF50-5AA9BAB3C36B}"/>
    <cellStyle name="Normal 5 4 4 4 2 2 3" xfId="25109" xr:uid="{54C88408-3BCE-45A3-B7FE-5A723B8564F8}"/>
    <cellStyle name="Normal 5 4 4 4 2 3" xfId="12451" xr:uid="{D74BFE53-27BA-4441-A07B-FB51B0240EAA}"/>
    <cellStyle name="Normal 5 4 4 4 2 4" xfId="20892" xr:uid="{1E7ACDFA-A4E9-4D89-B9DA-7BBA725CEE03}"/>
    <cellStyle name="Normal 5 4 4 4 3" xfId="6074" xr:uid="{00000000-0005-0000-0000-0000321B0000}"/>
    <cellStyle name="Normal 5 4 4 4 3 2" xfId="14524" xr:uid="{E1EA53EC-5830-4E61-B88A-66F27DA1559D}"/>
    <cellStyle name="Normal 5 4 4 4 3 3" xfId="22964" xr:uid="{17E69C19-2506-41BB-8909-0BDF66E7A158}"/>
    <cellStyle name="Normal 5 4 4 4 4" xfId="10306" xr:uid="{A96D7AF8-CA2B-43DC-AEF5-CF7AD1138242}"/>
    <cellStyle name="Normal 5 4 4 4 5" xfId="18747" xr:uid="{55B66477-4B44-44DB-93C3-6166BCDD68D7}"/>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55AF8101-8F60-44EE-84C5-C92DDAFDC8C0}"/>
    <cellStyle name="Normal 5 4 4 5 2 2 3" xfId="25522" xr:uid="{5FA565FF-577F-44E8-A351-145DAD762710}"/>
    <cellStyle name="Normal 5 4 4 5 2 3" xfId="12864" xr:uid="{D523E15D-BBA0-4C27-BCE2-FEBD012159E0}"/>
    <cellStyle name="Normal 5 4 4 5 2 4" xfId="21305" xr:uid="{42B59E7B-4FFA-437E-AA9B-1BD54DCC83AD}"/>
    <cellStyle name="Normal 5 4 4 5 3" xfId="6487" xr:uid="{00000000-0005-0000-0000-0000361B0000}"/>
    <cellStyle name="Normal 5 4 4 5 3 2" xfId="14937" xr:uid="{19938B13-0A18-4F05-ABCB-3FF31E721A0D}"/>
    <cellStyle name="Normal 5 4 4 5 3 3" xfId="23377" xr:uid="{7540B72D-240C-40F4-842D-6040151137E4}"/>
    <cellStyle name="Normal 5 4 4 5 4" xfId="10719" xr:uid="{5F77B160-46DA-4CC8-9B6C-E843C0383F5D}"/>
    <cellStyle name="Normal 5 4 4 5 5" xfId="19160" xr:uid="{D510B584-A628-4518-B8B2-423D154FFC19}"/>
    <cellStyle name="Normal 5 4 4 6" xfId="2617" xr:uid="{00000000-0005-0000-0000-0000371B0000}"/>
    <cellStyle name="Normal 5 4 4 6 2" xfId="6900" xr:uid="{00000000-0005-0000-0000-0000381B0000}"/>
    <cellStyle name="Normal 5 4 4 6 2 2" xfId="15350" xr:uid="{5DDB4117-8441-4DAD-8351-28012EB97BC0}"/>
    <cellStyle name="Normal 5 4 4 6 2 3" xfId="23790" xr:uid="{CE744B67-2EFB-4F9D-B0D6-FE579D91A76A}"/>
    <cellStyle name="Normal 5 4 4 6 3" xfId="11132" xr:uid="{90AE271A-D6D5-49B0-A972-189F59A6BD35}"/>
    <cellStyle name="Normal 5 4 4 6 4" xfId="19573" xr:uid="{2D23D5C8-B5E2-46E6-8F62-10B7A2D37BA4}"/>
    <cellStyle name="Normal 5 4 4 7" xfId="4835" xr:uid="{00000000-0005-0000-0000-0000391B0000}"/>
    <cellStyle name="Normal 5 4 4 7 2" xfId="13285" xr:uid="{43534DF2-63A2-45E3-86FF-95036C697CC9}"/>
    <cellStyle name="Normal 5 4 4 7 3" xfId="21725" xr:uid="{24047AC5-7790-4BFE-B387-36DEA6940100}"/>
    <cellStyle name="Normal 5 4 4 8" xfId="9067" xr:uid="{B4416CDF-8566-46BB-81DB-E90FE6DA64C6}"/>
    <cellStyle name="Normal 5 4 4 9" xfId="17508" xr:uid="{ED49627C-7347-4065-AFAF-C2E676EA211F}"/>
    <cellStyle name="Normal 5 4 5" xfId="930" xr:uid="{00000000-0005-0000-0000-00003A1B0000}"/>
    <cellStyle name="Normal 5 4 5 2" xfId="3164" xr:uid="{00000000-0005-0000-0000-00003B1B0000}"/>
    <cellStyle name="Normal 5 4 5 2 2" xfId="7386" xr:uid="{00000000-0005-0000-0000-00003C1B0000}"/>
    <cellStyle name="Normal 5 4 5 2 2 2" xfId="15836" xr:uid="{060CDD6A-6FDA-4E90-9FB8-770CD8B0811E}"/>
    <cellStyle name="Normal 5 4 5 2 2 3" xfId="24276" xr:uid="{ECEE0284-B5E3-404A-9CDB-2D671C067B80}"/>
    <cellStyle name="Normal 5 4 5 2 3" xfId="11618" xr:uid="{C7A8DEB8-4486-4E85-8C14-3FEAE5254E41}"/>
    <cellStyle name="Normal 5 4 5 2 4" xfId="20059" xr:uid="{729AEE69-3E7C-44CC-A0D5-7E97AE51F6CD}"/>
    <cellStyle name="Normal 5 4 5 3" xfId="5241" xr:uid="{00000000-0005-0000-0000-00003D1B0000}"/>
    <cellStyle name="Normal 5 4 5 3 2" xfId="13691" xr:uid="{6F8297E8-1C38-46D6-A528-BF37654EF3A9}"/>
    <cellStyle name="Normal 5 4 5 3 3" xfId="22131" xr:uid="{ECF551B4-2DCC-4D49-81E2-50FEF6A8E99B}"/>
    <cellStyle name="Normal 5 4 5 4" xfId="9473" xr:uid="{C9C298ED-E093-44A3-931F-3E7F0C3F6DB0}"/>
    <cellStyle name="Normal 5 4 5 5" xfId="17914" xr:uid="{480F8C01-D84C-46DA-9F1E-67E434AC3E2A}"/>
    <cellStyle name="Normal 5 4 6" xfId="1347" xr:uid="{00000000-0005-0000-0000-00003E1B0000}"/>
    <cellStyle name="Normal 5 4 6 2" xfId="3577" xr:uid="{00000000-0005-0000-0000-00003F1B0000}"/>
    <cellStyle name="Normal 5 4 6 2 2" xfId="7799" xr:uid="{00000000-0005-0000-0000-0000401B0000}"/>
    <cellStyle name="Normal 5 4 6 2 2 2" xfId="16249" xr:uid="{C329D291-4487-44F6-9EEE-6B67CF3B2F4A}"/>
    <cellStyle name="Normal 5 4 6 2 2 3" xfId="24689" xr:uid="{7E3E2C0D-9A7E-4123-B268-37DA79CB2276}"/>
    <cellStyle name="Normal 5 4 6 2 3" xfId="12031" xr:uid="{D702458A-8882-4301-85DC-FA1782B173D0}"/>
    <cellStyle name="Normal 5 4 6 2 4" xfId="20472" xr:uid="{D31C2CF6-1AC1-4535-B3C7-860853DB641A}"/>
    <cellStyle name="Normal 5 4 6 3" xfId="5654" xr:uid="{00000000-0005-0000-0000-0000411B0000}"/>
    <cellStyle name="Normal 5 4 6 3 2" xfId="14104" xr:uid="{D1F80A7A-7584-4E29-B523-7E91E689143E}"/>
    <cellStyle name="Normal 5 4 6 3 3" xfId="22544" xr:uid="{848AEAF7-1EC6-4F4A-880F-8C705426761D}"/>
    <cellStyle name="Normal 5 4 6 4" xfId="9886" xr:uid="{C2686855-EC88-4887-8331-99A1EF2BDFB4}"/>
    <cellStyle name="Normal 5 4 6 5" xfId="18327" xr:uid="{8F0B428C-32C6-4D1B-BB78-EBF860B5B770}"/>
    <cellStyle name="Normal 5 4 7" xfId="1760" xr:uid="{00000000-0005-0000-0000-0000421B0000}"/>
    <cellStyle name="Normal 5 4 7 2" xfId="3990" xr:uid="{00000000-0005-0000-0000-0000431B0000}"/>
    <cellStyle name="Normal 5 4 7 2 2" xfId="8212" xr:uid="{00000000-0005-0000-0000-0000441B0000}"/>
    <cellStyle name="Normal 5 4 7 2 2 2" xfId="16662" xr:uid="{4EC6B020-B83B-4CAC-87E4-2A9A28282C14}"/>
    <cellStyle name="Normal 5 4 7 2 2 3" xfId="25102" xr:uid="{29DD86A4-8091-4426-9E61-717E73EBE654}"/>
    <cellStyle name="Normal 5 4 7 2 3" xfId="12444" xr:uid="{43C1C934-2CEB-40A5-8C4A-D1FA96E36AA9}"/>
    <cellStyle name="Normal 5 4 7 2 4" xfId="20885" xr:uid="{2E21C3C4-156C-4FDA-B3BC-B4DD8166D413}"/>
    <cellStyle name="Normal 5 4 7 3" xfId="6067" xr:uid="{00000000-0005-0000-0000-0000451B0000}"/>
    <cellStyle name="Normal 5 4 7 3 2" xfId="14517" xr:uid="{C391B5AF-1DEE-40FD-A602-D60143CA0E0B}"/>
    <cellStyle name="Normal 5 4 7 3 3" xfId="22957" xr:uid="{19A531A3-C1A4-43C5-908F-256250919213}"/>
    <cellStyle name="Normal 5 4 7 4" xfId="10299" xr:uid="{28719A13-BE91-4B62-A256-92F9AED946F0}"/>
    <cellStyle name="Normal 5 4 7 5" xfId="18740" xr:uid="{A6DD3D7C-CB11-4FF7-B4D9-5B8E59CECD87}"/>
    <cellStyle name="Normal 5 4 8" xfId="2174" xr:uid="{00000000-0005-0000-0000-0000461B0000}"/>
    <cellStyle name="Normal 5 4 8 2" xfId="4403" xr:uid="{00000000-0005-0000-0000-0000471B0000}"/>
    <cellStyle name="Normal 5 4 8 2 2" xfId="8625" xr:uid="{00000000-0005-0000-0000-0000481B0000}"/>
    <cellStyle name="Normal 5 4 8 2 2 2" xfId="17075" xr:uid="{CECEA0F0-5EA2-4D57-8A9F-06501D497320}"/>
    <cellStyle name="Normal 5 4 8 2 2 3" xfId="25515" xr:uid="{D1077082-DEB4-4A96-987D-E662C3C011FB}"/>
    <cellStyle name="Normal 5 4 8 2 3" xfId="12857" xr:uid="{A60F2234-78AB-4179-A100-6382FD468A18}"/>
    <cellStyle name="Normal 5 4 8 2 4" xfId="21298" xr:uid="{894B1240-0256-4A98-8AA7-679AF5969384}"/>
    <cellStyle name="Normal 5 4 8 3" xfId="6480" xr:uid="{00000000-0005-0000-0000-0000491B0000}"/>
    <cellStyle name="Normal 5 4 8 3 2" xfId="14930" xr:uid="{EFCC8F6C-F8D2-4827-954F-50A7B2841F03}"/>
    <cellStyle name="Normal 5 4 8 3 3" xfId="23370" xr:uid="{21F8DA5F-8C4F-4ABA-B6D7-3208CB9D5E5B}"/>
    <cellStyle name="Normal 5 4 8 4" xfId="10712" xr:uid="{5947EBB5-8C1E-437D-9B0E-546F9AA1F0AE}"/>
    <cellStyle name="Normal 5 4 8 5" xfId="19153" xr:uid="{6B629B59-B625-4D2C-87C7-47C321CF9DCA}"/>
    <cellStyle name="Normal 5 4 9" xfId="2610" xr:uid="{00000000-0005-0000-0000-00004A1B0000}"/>
    <cellStyle name="Normal 5 4 9 2" xfId="6893" xr:uid="{00000000-0005-0000-0000-00004B1B0000}"/>
    <cellStyle name="Normal 5 4 9 2 2" xfId="15343" xr:uid="{E7FBC4A4-E904-4C72-972A-D333FBDDCB6A}"/>
    <cellStyle name="Normal 5 4 9 2 3" xfId="23783" xr:uid="{E67BF904-472A-426B-A1F6-AAD727EBC982}"/>
    <cellStyle name="Normal 5 4 9 3" xfId="11125" xr:uid="{92C6736A-70CC-4B30-A99C-186B0F347816}"/>
    <cellStyle name="Normal 5 4 9 4" xfId="19566" xr:uid="{36A1DD2B-D386-4583-801E-4DDB06A76199}"/>
    <cellStyle name="Normal 5 5" xfId="464" xr:uid="{00000000-0005-0000-0000-00004C1B0000}"/>
    <cellStyle name="Normal 5 5 10" xfId="9068" xr:uid="{D9C8C856-0BB5-4FD1-8D15-9FCD50BB1770}"/>
    <cellStyle name="Normal 5 5 11" xfId="17509" xr:uid="{33808071-18F4-4248-8183-383615F109AB}"/>
    <cellStyle name="Normal 5 5 2" xfId="465" xr:uid="{00000000-0005-0000-0000-00004D1B0000}"/>
    <cellStyle name="Normal 5 5 2 10" xfId="17510" xr:uid="{016948A9-F7EB-4F15-9B20-646C1F5CC7C6}"/>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46D7205B-2E4F-412E-AF47-A65E609BEC24}"/>
    <cellStyle name="Normal 5 5 2 2 2 2 2 3" xfId="24286" xr:uid="{2B2B6F8E-C0C6-4DE1-9518-844AAB31B417}"/>
    <cellStyle name="Normal 5 5 2 2 2 2 3" xfId="11628" xr:uid="{149F7D95-7FF8-4694-92D8-85E98C3C8681}"/>
    <cellStyle name="Normal 5 5 2 2 2 2 4" xfId="20069" xr:uid="{C16D3E1A-AADD-4C64-80DE-5678537BEC2B}"/>
    <cellStyle name="Normal 5 5 2 2 2 3" xfId="5251" xr:uid="{00000000-0005-0000-0000-0000521B0000}"/>
    <cellStyle name="Normal 5 5 2 2 2 3 2" xfId="13701" xr:uid="{B925573F-600A-48EA-AE3D-E3492D6F1E05}"/>
    <cellStyle name="Normal 5 5 2 2 2 3 3" xfId="22141" xr:uid="{A3377E93-2DEF-4D83-93B6-2D18A4D5474E}"/>
    <cellStyle name="Normal 5 5 2 2 2 4" xfId="9483" xr:uid="{8AFE2FE1-361E-4D9E-9C2E-4011BD3023CD}"/>
    <cellStyle name="Normal 5 5 2 2 2 5" xfId="17924" xr:uid="{BAF29617-03E2-437E-960A-330B87CBB2A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D818DC48-A4B3-42FE-8167-4FB68C36AC21}"/>
    <cellStyle name="Normal 5 5 2 2 3 2 2 3" xfId="24699" xr:uid="{13DB73A1-698A-46C9-A32C-61F4A30FF656}"/>
    <cellStyle name="Normal 5 5 2 2 3 2 3" xfId="12041" xr:uid="{B91B9BB9-BBC1-49DE-AF96-02E0032B22CE}"/>
    <cellStyle name="Normal 5 5 2 2 3 2 4" xfId="20482" xr:uid="{90D224CC-4A67-4CF4-BEB3-76B629B5B740}"/>
    <cellStyle name="Normal 5 5 2 2 3 3" xfId="5664" xr:uid="{00000000-0005-0000-0000-0000561B0000}"/>
    <cellStyle name="Normal 5 5 2 2 3 3 2" xfId="14114" xr:uid="{12560CB6-C22C-466A-81A9-315E287E6193}"/>
    <cellStyle name="Normal 5 5 2 2 3 3 3" xfId="22554" xr:uid="{E1793B0B-60C3-4283-AAB2-DA0244530861}"/>
    <cellStyle name="Normal 5 5 2 2 3 4" xfId="9896" xr:uid="{0FD683C2-FA9C-43C1-8DDC-0D4AC189E0CD}"/>
    <cellStyle name="Normal 5 5 2 2 3 5" xfId="18337" xr:uid="{5F45EC27-78C4-4FB4-9DED-90A73A12F099}"/>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3E5DC970-8D6B-4854-9C01-47962CF35DA5}"/>
    <cellStyle name="Normal 5 5 2 2 4 2 2 3" xfId="25112" xr:uid="{2CA3FBE4-6054-4657-8281-DD3DEE4EE2E0}"/>
    <cellStyle name="Normal 5 5 2 2 4 2 3" xfId="12454" xr:uid="{3AFF1438-BBEE-44D4-9417-BFC3322E13CA}"/>
    <cellStyle name="Normal 5 5 2 2 4 2 4" xfId="20895" xr:uid="{A2821562-B23D-4BA1-8D4B-65FC6999616E}"/>
    <cellStyle name="Normal 5 5 2 2 4 3" xfId="6077" xr:uid="{00000000-0005-0000-0000-00005A1B0000}"/>
    <cellStyle name="Normal 5 5 2 2 4 3 2" xfId="14527" xr:uid="{D2CD9F7C-32E5-4627-9D7C-BCE27D3274C7}"/>
    <cellStyle name="Normal 5 5 2 2 4 3 3" xfId="22967" xr:uid="{B867CB41-627B-4A24-B121-398F5FD8555F}"/>
    <cellStyle name="Normal 5 5 2 2 4 4" xfId="10309" xr:uid="{53A1ABDE-165F-4DE1-9098-25F5E1497F5C}"/>
    <cellStyle name="Normal 5 5 2 2 4 5" xfId="18750" xr:uid="{7ECC49C8-9894-4761-917A-CCBFE26CF7A8}"/>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FA8F30F2-95A9-4FCA-9A63-A471BBB4ECF4}"/>
    <cellStyle name="Normal 5 5 2 2 5 2 2 3" xfId="25525" xr:uid="{34693959-CA13-40CF-93D2-1437AACA9D96}"/>
    <cellStyle name="Normal 5 5 2 2 5 2 3" xfId="12867" xr:uid="{6B1C07A1-2043-4CE2-8230-FBB0610DB0FA}"/>
    <cellStyle name="Normal 5 5 2 2 5 2 4" xfId="21308" xr:uid="{43F327F6-1AE6-489A-ADDF-2B66D7FFA0D7}"/>
    <cellStyle name="Normal 5 5 2 2 5 3" xfId="6490" xr:uid="{00000000-0005-0000-0000-00005E1B0000}"/>
    <cellStyle name="Normal 5 5 2 2 5 3 2" xfId="14940" xr:uid="{EBA041EF-B84E-429B-9EBB-45D1C3643E44}"/>
    <cellStyle name="Normal 5 5 2 2 5 3 3" xfId="23380" xr:uid="{3E8B4072-1550-4AF8-9B01-F41B94289A7A}"/>
    <cellStyle name="Normal 5 5 2 2 5 4" xfId="10722" xr:uid="{EFED709A-E0B9-40BC-8215-54FDC326B7F1}"/>
    <cellStyle name="Normal 5 5 2 2 5 5" xfId="19163" xr:uid="{952A6652-905C-426C-A7B3-0E169E070A94}"/>
    <cellStyle name="Normal 5 5 2 2 6" xfId="2620" xr:uid="{00000000-0005-0000-0000-00005F1B0000}"/>
    <cellStyle name="Normal 5 5 2 2 6 2" xfId="6903" xr:uid="{00000000-0005-0000-0000-0000601B0000}"/>
    <cellStyle name="Normal 5 5 2 2 6 2 2" xfId="15353" xr:uid="{78EA9E07-A1B7-4120-99A9-4BCE9CCBF53B}"/>
    <cellStyle name="Normal 5 5 2 2 6 2 3" xfId="23793" xr:uid="{F08D611A-7E2B-4D46-AC56-2ED9DA1C4459}"/>
    <cellStyle name="Normal 5 5 2 2 6 3" xfId="11135" xr:uid="{6BD6AC0D-7704-4ABE-988F-8485718AD1D3}"/>
    <cellStyle name="Normal 5 5 2 2 6 4" xfId="19576" xr:uid="{98B1441A-DE0E-4D05-8B30-4B78B41EDBBF}"/>
    <cellStyle name="Normal 5 5 2 2 7" xfId="4838" xr:uid="{00000000-0005-0000-0000-0000611B0000}"/>
    <cellStyle name="Normal 5 5 2 2 7 2" xfId="13288" xr:uid="{F17DE862-1571-470B-95DA-E39B2626DD9E}"/>
    <cellStyle name="Normal 5 5 2 2 7 3" xfId="21728" xr:uid="{2903584C-A5B8-4B1B-95A5-5BC9897B82F5}"/>
    <cellStyle name="Normal 5 5 2 2 8" xfId="9070" xr:uid="{9150DE54-2E30-431B-9B73-173336ECC825}"/>
    <cellStyle name="Normal 5 5 2 2 9" xfId="17511" xr:uid="{31C96261-A6D0-4EF9-AFAC-252DF32F516E}"/>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E18F080D-0A80-4E9B-AEEA-4BCBACE339D0}"/>
    <cellStyle name="Normal 5 5 2 3 2 2 3" xfId="24285" xr:uid="{19F13BD4-14ED-4076-8E6A-83DEF4559CC8}"/>
    <cellStyle name="Normal 5 5 2 3 2 3" xfId="11627" xr:uid="{876344E7-6953-4A3C-B1A4-0592D34051F8}"/>
    <cellStyle name="Normal 5 5 2 3 2 4" xfId="20068" xr:uid="{B5D18F0C-1BEC-45A6-B412-2403A043D558}"/>
    <cellStyle name="Normal 5 5 2 3 3" xfId="5250" xr:uid="{00000000-0005-0000-0000-0000651B0000}"/>
    <cellStyle name="Normal 5 5 2 3 3 2" xfId="13700" xr:uid="{D05F0B26-EFCE-45D4-A25B-F5EC020EDFF1}"/>
    <cellStyle name="Normal 5 5 2 3 3 3" xfId="22140" xr:uid="{C07ECCE8-ED4B-4AFB-8FF7-68F6D46236D7}"/>
    <cellStyle name="Normal 5 5 2 3 4" xfId="9482" xr:uid="{B840C69A-A723-49F9-B9AD-C6C74E8C27E0}"/>
    <cellStyle name="Normal 5 5 2 3 5" xfId="17923" xr:uid="{7F801A7A-6541-43F7-AF94-B12ED8E388DF}"/>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57926E7B-6658-4C49-AD86-5B0DD4443B35}"/>
    <cellStyle name="Normal 5 5 2 4 2 2 3" xfId="24698" xr:uid="{A3C7272F-32AD-47DA-87C1-7CC976789C51}"/>
    <cellStyle name="Normal 5 5 2 4 2 3" xfId="12040" xr:uid="{AB6A9B98-F6D7-4762-BEE2-D28DB67092B5}"/>
    <cellStyle name="Normal 5 5 2 4 2 4" xfId="20481" xr:uid="{CEF4E68D-207D-48E9-9A97-6E4705CB1FD8}"/>
    <cellStyle name="Normal 5 5 2 4 3" xfId="5663" xr:uid="{00000000-0005-0000-0000-0000691B0000}"/>
    <cellStyle name="Normal 5 5 2 4 3 2" xfId="14113" xr:uid="{BBC194D1-936A-44ED-B5E7-44347F1253E9}"/>
    <cellStyle name="Normal 5 5 2 4 3 3" xfId="22553" xr:uid="{319E46F5-7D80-40E0-AEC0-4B8849E9AAF5}"/>
    <cellStyle name="Normal 5 5 2 4 4" xfId="9895" xr:uid="{E94A392A-DF20-401B-ABF5-F22C2ABFC461}"/>
    <cellStyle name="Normal 5 5 2 4 5" xfId="18336" xr:uid="{AD74A0FB-A40B-4BB0-999A-945292AED9CF}"/>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5438926E-DF0D-453B-9CB2-E7D620E7D83A}"/>
    <cellStyle name="Normal 5 5 2 5 2 2 3" xfId="25111" xr:uid="{6A16AE7C-B270-4C5A-8793-CC5F3377918B}"/>
    <cellStyle name="Normal 5 5 2 5 2 3" xfId="12453" xr:uid="{5D904DF3-37EF-4EF7-85D2-D65469DAD79E}"/>
    <cellStyle name="Normal 5 5 2 5 2 4" xfId="20894" xr:uid="{DCD84FD2-D586-4BE1-9581-40C7BFEB1804}"/>
    <cellStyle name="Normal 5 5 2 5 3" xfId="6076" xr:uid="{00000000-0005-0000-0000-00006D1B0000}"/>
    <cellStyle name="Normal 5 5 2 5 3 2" xfId="14526" xr:uid="{B5C76656-780F-48A7-8898-E7309BA22B97}"/>
    <cellStyle name="Normal 5 5 2 5 3 3" xfId="22966" xr:uid="{E2808516-7A41-4CA4-A99D-2F2EDF85143B}"/>
    <cellStyle name="Normal 5 5 2 5 4" xfId="10308" xr:uid="{A9E6E2CB-1259-4979-B939-72704E616C0D}"/>
    <cellStyle name="Normal 5 5 2 5 5" xfId="18749" xr:uid="{A3300D5A-DC1C-4CD4-B58D-05BB97EC1CEA}"/>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F48F388D-BB8F-4BE4-B69F-712DF097CB79}"/>
    <cellStyle name="Normal 5 5 2 6 2 2 3" xfId="25524" xr:uid="{C6B8759D-B717-4F94-AD49-C3C73C720DC3}"/>
    <cellStyle name="Normal 5 5 2 6 2 3" xfId="12866" xr:uid="{895D8FC3-AAA0-4191-A0B3-E8B52163406E}"/>
    <cellStyle name="Normal 5 5 2 6 2 4" xfId="21307" xr:uid="{092739F6-0299-465A-AEA7-882D1D72E830}"/>
    <cellStyle name="Normal 5 5 2 6 3" xfId="6489" xr:uid="{00000000-0005-0000-0000-0000711B0000}"/>
    <cellStyle name="Normal 5 5 2 6 3 2" xfId="14939" xr:uid="{EECEFE95-CF27-40DB-AEF7-72FCFD260B61}"/>
    <cellStyle name="Normal 5 5 2 6 3 3" xfId="23379" xr:uid="{D2E84BE8-C991-4BE2-86CF-7AEE5391E124}"/>
    <cellStyle name="Normal 5 5 2 6 4" xfId="10721" xr:uid="{522BE3D5-97DC-4EF5-81C1-22922657A8DE}"/>
    <cellStyle name="Normal 5 5 2 6 5" xfId="19162" xr:uid="{7EC5245A-1D30-44F6-8A34-EDD16271C612}"/>
    <cellStyle name="Normal 5 5 2 7" xfId="2619" xr:uid="{00000000-0005-0000-0000-0000721B0000}"/>
    <cellStyle name="Normal 5 5 2 7 2" xfId="6902" xr:uid="{00000000-0005-0000-0000-0000731B0000}"/>
    <cellStyle name="Normal 5 5 2 7 2 2" xfId="15352" xr:uid="{A2B8FF99-2E78-4F66-A6AE-AE7067C91239}"/>
    <cellStyle name="Normal 5 5 2 7 2 3" xfId="23792" xr:uid="{F1389F6E-ED1E-430C-B790-CA6AB622DB34}"/>
    <cellStyle name="Normal 5 5 2 7 3" xfId="11134" xr:uid="{29367AAD-29DB-47E7-A15F-81D5D457D6D5}"/>
    <cellStyle name="Normal 5 5 2 7 4" xfId="19575" xr:uid="{540946DE-4653-4072-B106-403629CDCBBB}"/>
    <cellStyle name="Normal 5 5 2 8" xfId="4837" xr:uid="{00000000-0005-0000-0000-0000741B0000}"/>
    <cellStyle name="Normal 5 5 2 8 2" xfId="13287" xr:uid="{ECC1C494-A1D3-49EC-AE89-7C0CAFE8DA7D}"/>
    <cellStyle name="Normal 5 5 2 8 3" xfId="21727" xr:uid="{BCA34673-87DA-4446-BEF7-CE8C25F61B95}"/>
    <cellStyle name="Normal 5 5 2 9" xfId="9069" xr:uid="{FA667134-EB7E-465C-96CB-AECF9C0E534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A945B76E-4C4B-4E97-B26E-666701085E42}"/>
    <cellStyle name="Normal 5 5 3 2 2 2 3" xfId="24287" xr:uid="{0F5544DD-1BAF-4651-B1E6-4A1A768DCF07}"/>
    <cellStyle name="Normal 5 5 3 2 2 3" xfId="11629" xr:uid="{D3741BF5-4DFD-4076-B185-A58A6BF2D36C}"/>
    <cellStyle name="Normal 5 5 3 2 2 4" xfId="20070" xr:uid="{798C42B2-FF71-46D9-894B-878154489EBE}"/>
    <cellStyle name="Normal 5 5 3 2 3" xfId="5252" xr:uid="{00000000-0005-0000-0000-0000791B0000}"/>
    <cellStyle name="Normal 5 5 3 2 3 2" xfId="13702" xr:uid="{B7D1E7C9-7B95-4F5B-936F-1FD164594178}"/>
    <cellStyle name="Normal 5 5 3 2 3 3" xfId="22142" xr:uid="{D77B136D-64FE-4B0D-ABA2-A3B0C1A0F8E0}"/>
    <cellStyle name="Normal 5 5 3 2 4" xfId="9484" xr:uid="{2A0CF716-C50D-4024-85F9-1798234BF1C7}"/>
    <cellStyle name="Normal 5 5 3 2 5" xfId="17925" xr:uid="{C934B390-C16B-496C-9AAA-4F062CDAEA6A}"/>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B69C4EAB-7E06-451B-9BB5-4D301E198A67}"/>
    <cellStyle name="Normal 5 5 3 3 2 2 3" xfId="24700" xr:uid="{CDE19DFE-4B65-4B33-8C23-9134C79B043B}"/>
    <cellStyle name="Normal 5 5 3 3 2 3" xfId="12042" xr:uid="{3C588B41-872B-46CC-A8F3-C1150414BDD0}"/>
    <cellStyle name="Normal 5 5 3 3 2 4" xfId="20483" xr:uid="{2A0F26AE-EB8B-4780-9C56-EFE2135FF075}"/>
    <cellStyle name="Normal 5 5 3 3 3" xfId="5665" xr:uid="{00000000-0005-0000-0000-00007D1B0000}"/>
    <cellStyle name="Normal 5 5 3 3 3 2" xfId="14115" xr:uid="{2637C16E-8E37-4EF3-88DF-AF6A530B0529}"/>
    <cellStyle name="Normal 5 5 3 3 3 3" xfId="22555" xr:uid="{47BF174B-0AED-424E-AA0F-17F7E2DC83A2}"/>
    <cellStyle name="Normal 5 5 3 3 4" xfId="9897" xr:uid="{E8CC3149-3B57-4AE5-8682-FF058A590504}"/>
    <cellStyle name="Normal 5 5 3 3 5" xfId="18338" xr:uid="{4F610D2F-4DCD-4598-BFF8-2136D003DF70}"/>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B345024C-715E-4D63-95AB-C374D2DBA30C}"/>
    <cellStyle name="Normal 5 5 3 4 2 2 3" xfId="25113" xr:uid="{19F7BB9B-177E-4DC8-B3E6-8E0D1406B7C7}"/>
    <cellStyle name="Normal 5 5 3 4 2 3" xfId="12455" xr:uid="{89956294-2AAB-42AB-B7CD-2CC71BCEE90B}"/>
    <cellStyle name="Normal 5 5 3 4 2 4" xfId="20896" xr:uid="{4CEDC834-4ED8-41A7-93B5-74A27FEE4627}"/>
    <cellStyle name="Normal 5 5 3 4 3" xfId="6078" xr:uid="{00000000-0005-0000-0000-0000811B0000}"/>
    <cellStyle name="Normal 5 5 3 4 3 2" xfId="14528" xr:uid="{254A50A1-6A22-44D5-B4BF-79C8CCDBCA28}"/>
    <cellStyle name="Normal 5 5 3 4 3 3" xfId="22968" xr:uid="{EDAC4AAD-50B2-47EC-8B0F-8A560D6390E5}"/>
    <cellStyle name="Normal 5 5 3 4 4" xfId="10310" xr:uid="{5F641013-8E92-495A-A0B5-04C63B92FB1F}"/>
    <cellStyle name="Normal 5 5 3 4 5" xfId="18751" xr:uid="{252F5A7E-CBFC-4F0B-88A6-6D671AD53E1C}"/>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6D03B328-5992-417C-BE63-F6FF38679132}"/>
    <cellStyle name="Normal 5 5 3 5 2 2 3" xfId="25526" xr:uid="{E7EBF216-2463-47EF-AAE5-7FC059378C87}"/>
    <cellStyle name="Normal 5 5 3 5 2 3" xfId="12868" xr:uid="{BF50728C-52F1-4254-86A7-C324208BA932}"/>
    <cellStyle name="Normal 5 5 3 5 2 4" xfId="21309" xr:uid="{4C78DF81-C1A6-4264-931C-F07A18CFD727}"/>
    <cellStyle name="Normal 5 5 3 5 3" xfId="6491" xr:uid="{00000000-0005-0000-0000-0000851B0000}"/>
    <cellStyle name="Normal 5 5 3 5 3 2" xfId="14941" xr:uid="{2D349122-0012-40D0-B098-786DBC12FE27}"/>
    <cellStyle name="Normal 5 5 3 5 3 3" xfId="23381" xr:uid="{7EE76E9D-22FA-4832-95C7-9897020C57B8}"/>
    <cellStyle name="Normal 5 5 3 5 4" xfId="10723" xr:uid="{4E993C77-BACC-4F2E-B154-FDE326FDCAE1}"/>
    <cellStyle name="Normal 5 5 3 5 5" xfId="19164" xr:uid="{212BADFF-1173-4099-BC5D-234C35C64F75}"/>
    <cellStyle name="Normal 5 5 3 6" xfId="2621" xr:uid="{00000000-0005-0000-0000-0000861B0000}"/>
    <cellStyle name="Normal 5 5 3 6 2" xfId="6904" xr:uid="{00000000-0005-0000-0000-0000871B0000}"/>
    <cellStyle name="Normal 5 5 3 6 2 2" xfId="15354" xr:uid="{BB5A4E3E-652F-426E-9C50-BB7D922B0681}"/>
    <cellStyle name="Normal 5 5 3 6 2 3" xfId="23794" xr:uid="{C681EF02-6FD8-4A09-89FF-DB12A1588BE6}"/>
    <cellStyle name="Normal 5 5 3 6 3" xfId="11136" xr:uid="{C6D3E3E4-DEFF-49C3-8212-EA144336AF0C}"/>
    <cellStyle name="Normal 5 5 3 6 4" xfId="19577" xr:uid="{ED961F70-437E-40D8-8437-043DE1F59490}"/>
    <cellStyle name="Normal 5 5 3 7" xfId="4839" xr:uid="{00000000-0005-0000-0000-0000881B0000}"/>
    <cellStyle name="Normal 5 5 3 7 2" xfId="13289" xr:uid="{98C1B571-084F-4C71-AFA8-D6D999A8FDE9}"/>
    <cellStyle name="Normal 5 5 3 7 3" xfId="21729" xr:uid="{3B8776A2-4433-4489-9FBD-5F6E939DCCA1}"/>
    <cellStyle name="Normal 5 5 3 8" xfId="9071" xr:uid="{2311EEE5-E5CF-4BB9-837F-F8EE9AF7E8F3}"/>
    <cellStyle name="Normal 5 5 3 9" xfId="17512" xr:uid="{2E7280D2-C4C4-4380-B7E7-05EF8375B1B6}"/>
    <cellStyle name="Normal 5 5 4" xfId="938" xr:uid="{00000000-0005-0000-0000-0000891B0000}"/>
    <cellStyle name="Normal 5 5 4 2" xfId="3172" xr:uid="{00000000-0005-0000-0000-00008A1B0000}"/>
    <cellStyle name="Normal 5 5 4 2 2" xfId="7394" xr:uid="{00000000-0005-0000-0000-00008B1B0000}"/>
    <cellStyle name="Normal 5 5 4 2 2 2" xfId="15844" xr:uid="{01510002-4832-4095-80C5-C066C42CD7F8}"/>
    <cellStyle name="Normal 5 5 4 2 2 3" xfId="24284" xr:uid="{F23C634E-679C-4401-BD64-696675B1CB47}"/>
    <cellStyle name="Normal 5 5 4 2 3" xfId="11626" xr:uid="{134B4A0B-CA1B-4FBF-A5CF-24FB23DDAA8D}"/>
    <cellStyle name="Normal 5 5 4 2 4" xfId="20067" xr:uid="{1D23AEDC-CFE6-4C95-B266-7A75EF9370C4}"/>
    <cellStyle name="Normal 5 5 4 3" xfId="5249" xr:uid="{00000000-0005-0000-0000-00008C1B0000}"/>
    <cellStyle name="Normal 5 5 4 3 2" xfId="13699" xr:uid="{3767F27A-7F56-4D81-B523-8078FB438E45}"/>
    <cellStyle name="Normal 5 5 4 3 3" xfId="22139" xr:uid="{442AAB31-6487-463E-A7DC-8C48A1801D01}"/>
    <cellStyle name="Normal 5 5 4 4" xfId="9481" xr:uid="{C9F50472-CA97-4F1C-819F-2AA50C79DE6C}"/>
    <cellStyle name="Normal 5 5 4 5" xfId="17922" xr:uid="{B98C6E26-F1C4-4324-B496-7BA476BD3183}"/>
    <cellStyle name="Normal 5 5 5" xfId="1355" xr:uid="{00000000-0005-0000-0000-00008D1B0000}"/>
    <cellStyle name="Normal 5 5 5 2" xfId="3585" xr:uid="{00000000-0005-0000-0000-00008E1B0000}"/>
    <cellStyle name="Normal 5 5 5 2 2" xfId="7807" xr:uid="{00000000-0005-0000-0000-00008F1B0000}"/>
    <cellStyle name="Normal 5 5 5 2 2 2" xfId="16257" xr:uid="{1750CD9F-9BA5-4584-BDFE-5CF39248AECC}"/>
    <cellStyle name="Normal 5 5 5 2 2 3" xfId="24697" xr:uid="{174E5AB4-EC64-4A83-8893-E06C3D404E85}"/>
    <cellStyle name="Normal 5 5 5 2 3" xfId="12039" xr:uid="{93E10F66-50AF-4E6E-BEBB-3E6F023789B5}"/>
    <cellStyle name="Normal 5 5 5 2 4" xfId="20480" xr:uid="{10611D47-6DB1-49B2-AE5D-CD4D8CFA3F19}"/>
    <cellStyle name="Normal 5 5 5 3" xfId="5662" xr:uid="{00000000-0005-0000-0000-0000901B0000}"/>
    <cellStyle name="Normal 5 5 5 3 2" xfId="14112" xr:uid="{CA00A4A3-C4D1-4470-A386-35B3011995A5}"/>
    <cellStyle name="Normal 5 5 5 3 3" xfId="22552" xr:uid="{B9C3FB86-F705-43A1-8C4A-07CF6A925AD3}"/>
    <cellStyle name="Normal 5 5 5 4" xfId="9894" xr:uid="{0A04B847-3DEA-445B-9E2C-C90214F64007}"/>
    <cellStyle name="Normal 5 5 5 5" xfId="18335" xr:uid="{0DDBF0ED-C1DE-4D98-8F2E-3A60E6526F2E}"/>
    <cellStyle name="Normal 5 5 6" xfId="1768" xr:uid="{00000000-0005-0000-0000-0000911B0000}"/>
    <cellStyle name="Normal 5 5 6 2" xfId="3998" xr:uid="{00000000-0005-0000-0000-0000921B0000}"/>
    <cellStyle name="Normal 5 5 6 2 2" xfId="8220" xr:uid="{00000000-0005-0000-0000-0000931B0000}"/>
    <cellStyle name="Normal 5 5 6 2 2 2" xfId="16670" xr:uid="{DE49CEC4-A44D-43F3-AD3B-DE8107FCAFCD}"/>
    <cellStyle name="Normal 5 5 6 2 2 3" xfId="25110" xr:uid="{23458961-70DE-4D9D-A054-52B346E46DFB}"/>
    <cellStyle name="Normal 5 5 6 2 3" xfId="12452" xr:uid="{6A1ED2BB-EC73-4B11-AE8A-9643CA92359F}"/>
    <cellStyle name="Normal 5 5 6 2 4" xfId="20893" xr:uid="{2A7D015A-D8DA-4428-8B76-E3C07C96C3DE}"/>
    <cellStyle name="Normal 5 5 6 3" xfId="6075" xr:uid="{00000000-0005-0000-0000-0000941B0000}"/>
    <cellStyle name="Normal 5 5 6 3 2" xfId="14525" xr:uid="{E77D276C-D77B-41A4-A1C2-8DB2F9FCF402}"/>
    <cellStyle name="Normal 5 5 6 3 3" xfId="22965" xr:uid="{D364D00C-52FE-4A2C-9784-071D5F5C3240}"/>
    <cellStyle name="Normal 5 5 6 4" xfId="10307" xr:uid="{B0B5838E-6D62-4D7A-86C3-B62A16090BD9}"/>
    <cellStyle name="Normal 5 5 6 5" xfId="18748" xr:uid="{45CE33C4-0509-4304-9BBA-9666AF6C3A0F}"/>
    <cellStyle name="Normal 5 5 7" xfId="2182" xr:uid="{00000000-0005-0000-0000-0000951B0000}"/>
    <cellStyle name="Normal 5 5 7 2" xfId="4411" xr:uid="{00000000-0005-0000-0000-0000961B0000}"/>
    <cellStyle name="Normal 5 5 7 2 2" xfId="8633" xr:uid="{00000000-0005-0000-0000-0000971B0000}"/>
    <cellStyle name="Normal 5 5 7 2 2 2" xfId="17083" xr:uid="{521C07B5-9781-4226-A79C-232284558113}"/>
    <cellStyle name="Normal 5 5 7 2 2 3" xfId="25523" xr:uid="{E6BF4F69-C210-4FF9-A73A-ED399FAA84C7}"/>
    <cellStyle name="Normal 5 5 7 2 3" xfId="12865" xr:uid="{3F6C8F84-5614-43B6-801D-E40A3248E04E}"/>
    <cellStyle name="Normal 5 5 7 2 4" xfId="21306" xr:uid="{4DF1A695-F644-48C0-B173-2B624D94F834}"/>
    <cellStyle name="Normal 5 5 7 3" xfId="6488" xr:uid="{00000000-0005-0000-0000-0000981B0000}"/>
    <cellStyle name="Normal 5 5 7 3 2" xfId="14938" xr:uid="{BF52252E-B88F-4634-9DAB-A06D34AA1AC8}"/>
    <cellStyle name="Normal 5 5 7 3 3" xfId="23378" xr:uid="{70A8F14D-5816-456F-9CF1-7564D4505ED0}"/>
    <cellStyle name="Normal 5 5 7 4" xfId="10720" xr:uid="{7FBD5B1A-29CC-4FB4-BAA2-F832E243FBCB}"/>
    <cellStyle name="Normal 5 5 7 5" xfId="19161" xr:uid="{D360052E-4CDD-4B3E-BCC5-E4ED96119B25}"/>
    <cellStyle name="Normal 5 5 8" xfId="2618" xr:uid="{00000000-0005-0000-0000-0000991B0000}"/>
    <cellStyle name="Normal 5 5 8 2" xfId="6901" xr:uid="{00000000-0005-0000-0000-00009A1B0000}"/>
    <cellStyle name="Normal 5 5 8 2 2" xfId="15351" xr:uid="{5A36C2C8-CCFC-4F9B-89B4-A837C35E1821}"/>
    <cellStyle name="Normal 5 5 8 2 3" xfId="23791" xr:uid="{02656DEB-89D1-472D-9610-E124CDCA63EE}"/>
    <cellStyle name="Normal 5 5 8 3" xfId="11133" xr:uid="{9320BF16-878F-4B64-A5B5-4AA280B1294B}"/>
    <cellStyle name="Normal 5 5 8 4" xfId="19574" xr:uid="{64917FD4-3F0A-4995-BE59-44BFF2912CCF}"/>
    <cellStyle name="Normal 5 5 9" xfId="4836" xr:uid="{00000000-0005-0000-0000-00009B1B0000}"/>
    <cellStyle name="Normal 5 5 9 2" xfId="13286" xr:uid="{69043833-3C6F-40F3-9776-C6570E882322}"/>
    <cellStyle name="Normal 5 5 9 3" xfId="21726" xr:uid="{7716C877-24AD-43D5-AAB4-130651D89FC1}"/>
    <cellStyle name="Normal 5 6" xfId="468" xr:uid="{00000000-0005-0000-0000-00009C1B0000}"/>
    <cellStyle name="Normal 5 6 10" xfId="17513" xr:uid="{C0BCADC2-821D-4F72-BC83-0172583BFDFA}"/>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C7420567-6266-4AB8-ADAC-365463DC3B3A}"/>
    <cellStyle name="Normal 5 6 2 2 2 2 3" xfId="24289" xr:uid="{CE46C91A-4D3B-46BE-AE9D-E03141A98F21}"/>
    <cellStyle name="Normal 5 6 2 2 2 3" xfId="11631" xr:uid="{AF28EB7E-0428-4AA2-BA2D-0696B06224BD}"/>
    <cellStyle name="Normal 5 6 2 2 2 4" xfId="20072" xr:uid="{032154D3-3628-48AA-815E-01785DAAC128}"/>
    <cellStyle name="Normal 5 6 2 2 3" xfId="5254" xr:uid="{00000000-0005-0000-0000-0000A11B0000}"/>
    <cellStyle name="Normal 5 6 2 2 3 2" xfId="13704" xr:uid="{29F03BCE-C8D2-406A-ACAF-BC9662AD0F4F}"/>
    <cellStyle name="Normal 5 6 2 2 3 3" xfId="22144" xr:uid="{D341EC01-53CF-4511-9379-BCBC9420A707}"/>
    <cellStyle name="Normal 5 6 2 2 4" xfId="9486" xr:uid="{D4A4C043-90BE-40EE-82C0-B4733A0266EB}"/>
    <cellStyle name="Normal 5 6 2 2 5" xfId="17927" xr:uid="{0D7C75DE-77D5-4E58-9754-6D239AE34FD4}"/>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8E0E4F66-6B2F-462C-8F1A-56D47A11B450}"/>
    <cellStyle name="Normal 5 6 2 3 2 2 3" xfId="24702" xr:uid="{BBA67F2C-5DFA-40B3-8335-197D998915B0}"/>
    <cellStyle name="Normal 5 6 2 3 2 3" xfId="12044" xr:uid="{9F3E1AF2-63A0-44D8-B3B5-9C471A5FBFF1}"/>
    <cellStyle name="Normal 5 6 2 3 2 4" xfId="20485" xr:uid="{29853177-D9CA-438B-81DD-79C585355ECC}"/>
    <cellStyle name="Normal 5 6 2 3 3" xfId="5667" xr:uid="{00000000-0005-0000-0000-0000A51B0000}"/>
    <cellStyle name="Normal 5 6 2 3 3 2" xfId="14117" xr:uid="{122EC2EB-EE1D-43E1-88EE-5DA95BCDAA01}"/>
    <cellStyle name="Normal 5 6 2 3 3 3" xfId="22557" xr:uid="{2DDB319A-22C4-4B20-AF84-4E000792A0F1}"/>
    <cellStyle name="Normal 5 6 2 3 4" xfId="9899" xr:uid="{FC25FB1A-2037-4641-9292-44680C1B1AD3}"/>
    <cellStyle name="Normal 5 6 2 3 5" xfId="18340" xr:uid="{9093AFD2-3180-4C92-B0C3-A993D0A45201}"/>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EC22C377-C73C-41CD-9D89-DF89A7C53E92}"/>
    <cellStyle name="Normal 5 6 2 4 2 2 3" xfId="25115" xr:uid="{BCB4A198-0EF7-4F2A-B21A-AF89750CF37B}"/>
    <cellStyle name="Normal 5 6 2 4 2 3" xfId="12457" xr:uid="{5A4CE084-7E22-42E4-82DA-53CD285BB894}"/>
    <cellStyle name="Normal 5 6 2 4 2 4" xfId="20898" xr:uid="{45512DB1-C9EB-406B-AEF0-2E9F5D33764E}"/>
    <cellStyle name="Normal 5 6 2 4 3" xfId="6080" xr:uid="{00000000-0005-0000-0000-0000A91B0000}"/>
    <cellStyle name="Normal 5 6 2 4 3 2" xfId="14530" xr:uid="{42D9BFC9-34FC-41B2-8B58-49E9103AAD41}"/>
    <cellStyle name="Normal 5 6 2 4 3 3" xfId="22970" xr:uid="{DE4A0355-89BC-4238-B9C9-E573661B80D4}"/>
    <cellStyle name="Normal 5 6 2 4 4" xfId="10312" xr:uid="{41FE2155-7BB4-4CD3-BA02-BDDF399143D3}"/>
    <cellStyle name="Normal 5 6 2 4 5" xfId="18753" xr:uid="{48E4F934-1ABF-426E-9B48-F44A779C66F3}"/>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C7AC5EC4-F68B-45D1-B209-55C8B440C09C}"/>
    <cellStyle name="Normal 5 6 2 5 2 2 3" xfId="25528" xr:uid="{1F33279D-A187-4C2A-9B94-E2B5E02C32F6}"/>
    <cellStyle name="Normal 5 6 2 5 2 3" xfId="12870" xr:uid="{F0511FEA-D5AE-4203-A5BD-352684F024B9}"/>
    <cellStyle name="Normal 5 6 2 5 2 4" xfId="21311" xr:uid="{AB8E3489-9C67-47AF-A922-74053759D942}"/>
    <cellStyle name="Normal 5 6 2 5 3" xfId="6493" xr:uid="{00000000-0005-0000-0000-0000AD1B0000}"/>
    <cellStyle name="Normal 5 6 2 5 3 2" xfId="14943" xr:uid="{F4F21D5D-C25A-4FD8-8207-4166C9A0CF8F}"/>
    <cellStyle name="Normal 5 6 2 5 3 3" xfId="23383" xr:uid="{6F8ABFB1-1EAD-49A4-9EB1-D81C828312CB}"/>
    <cellStyle name="Normal 5 6 2 5 4" xfId="10725" xr:uid="{C3C5BECE-4F1C-4D7A-B520-D8D1097F02C8}"/>
    <cellStyle name="Normal 5 6 2 5 5" xfId="19166" xr:uid="{EBE65C8A-2E23-42CA-977D-F25450E85CC7}"/>
    <cellStyle name="Normal 5 6 2 6" xfId="2623" xr:uid="{00000000-0005-0000-0000-0000AE1B0000}"/>
    <cellStyle name="Normal 5 6 2 6 2" xfId="6906" xr:uid="{00000000-0005-0000-0000-0000AF1B0000}"/>
    <cellStyle name="Normal 5 6 2 6 2 2" xfId="15356" xr:uid="{A79D8FBC-EDC9-458B-843D-6725BE5924F1}"/>
    <cellStyle name="Normal 5 6 2 6 2 3" xfId="23796" xr:uid="{960AD5D0-4052-4ADC-84AE-8CA753463F78}"/>
    <cellStyle name="Normal 5 6 2 6 3" xfId="11138" xr:uid="{2E98525E-8071-4EF4-9386-E86F908C62C0}"/>
    <cellStyle name="Normal 5 6 2 6 4" xfId="19579" xr:uid="{12B4477E-786A-4461-A784-D2C5AFA99E9B}"/>
    <cellStyle name="Normal 5 6 2 7" xfId="4841" xr:uid="{00000000-0005-0000-0000-0000B01B0000}"/>
    <cellStyle name="Normal 5 6 2 7 2" xfId="13291" xr:uid="{7E1050FB-085F-4C27-93E5-F9AFE0C7C705}"/>
    <cellStyle name="Normal 5 6 2 7 3" xfId="21731" xr:uid="{E804C270-2E47-478F-BD41-90148BD870F7}"/>
    <cellStyle name="Normal 5 6 2 8" xfId="9073" xr:uid="{554DD442-0087-4B0A-AE99-20BC45C146E5}"/>
    <cellStyle name="Normal 5 6 2 9" xfId="17514" xr:uid="{A2F8191B-77DB-4296-B198-FFB28BF33FD1}"/>
    <cellStyle name="Normal 5 6 3" xfId="942" xr:uid="{00000000-0005-0000-0000-0000B11B0000}"/>
    <cellStyle name="Normal 5 6 3 2" xfId="3176" xr:uid="{00000000-0005-0000-0000-0000B21B0000}"/>
    <cellStyle name="Normal 5 6 3 2 2" xfId="7398" xr:uid="{00000000-0005-0000-0000-0000B31B0000}"/>
    <cellStyle name="Normal 5 6 3 2 2 2" xfId="15848" xr:uid="{A83492B2-126E-4D75-BC21-27BDC49D026F}"/>
    <cellStyle name="Normal 5 6 3 2 2 3" xfId="24288" xr:uid="{CE5D3225-EBB9-4D4B-9ABD-B7B7682DBDEA}"/>
    <cellStyle name="Normal 5 6 3 2 3" xfId="11630" xr:uid="{130B6F0D-D969-46A4-94BE-9A099236BDA4}"/>
    <cellStyle name="Normal 5 6 3 2 4" xfId="20071" xr:uid="{2A8D10D9-A432-4507-9C92-A860B30F05D0}"/>
    <cellStyle name="Normal 5 6 3 3" xfId="5253" xr:uid="{00000000-0005-0000-0000-0000B41B0000}"/>
    <cellStyle name="Normal 5 6 3 3 2" xfId="13703" xr:uid="{CDA9A50C-1815-4C98-98F7-7503BC80CA55}"/>
    <cellStyle name="Normal 5 6 3 3 3" xfId="22143" xr:uid="{BF636295-9DBC-4136-82E6-4504573D551B}"/>
    <cellStyle name="Normal 5 6 3 4" xfId="9485" xr:uid="{BC470FDF-7E70-429F-BCEE-6F89FA30C8ED}"/>
    <cellStyle name="Normal 5 6 3 5" xfId="17926" xr:uid="{B23728C8-E781-4525-AEC9-BFB401B9BFB9}"/>
    <cellStyle name="Normal 5 6 4" xfId="1359" xr:uid="{00000000-0005-0000-0000-0000B51B0000}"/>
    <cellStyle name="Normal 5 6 4 2" xfId="3589" xr:uid="{00000000-0005-0000-0000-0000B61B0000}"/>
    <cellStyle name="Normal 5 6 4 2 2" xfId="7811" xr:uid="{00000000-0005-0000-0000-0000B71B0000}"/>
    <cellStyle name="Normal 5 6 4 2 2 2" xfId="16261" xr:uid="{E997184A-E812-402C-B802-5394744F765F}"/>
    <cellStyle name="Normal 5 6 4 2 2 3" xfId="24701" xr:uid="{B2AEEBD8-BF4B-4651-90BA-F1B6333EA71E}"/>
    <cellStyle name="Normal 5 6 4 2 3" xfId="12043" xr:uid="{0BF7C317-005B-49B0-8807-709205D7561F}"/>
    <cellStyle name="Normal 5 6 4 2 4" xfId="20484" xr:uid="{C0EE10F2-F8C6-43E7-8F8B-FF1033D19FBC}"/>
    <cellStyle name="Normal 5 6 4 3" xfId="5666" xr:uid="{00000000-0005-0000-0000-0000B81B0000}"/>
    <cellStyle name="Normal 5 6 4 3 2" xfId="14116" xr:uid="{363C555A-D34E-484B-B0EE-F6A787571F85}"/>
    <cellStyle name="Normal 5 6 4 3 3" xfId="22556" xr:uid="{378BFFEA-555C-4B52-8822-0D51A71EEC97}"/>
    <cellStyle name="Normal 5 6 4 4" xfId="9898" xr:uid="{E95F16DD-30D3-4C49-9808-AE1F0E18224C}"/>
    <cellStyle name="Normal 5 6 4 5" xfId="18339" xr:uid="{55FCC3E2-1B18-4116-A180-159684223770}"/>
    <cellStyle name="Normal 5 6 5" xfId="1772" xr:uid="{00000000-0005-0000-0000-0000B91B0000}"/>
    <cellStyle name="Normal 5 6 5 2" xfId="4002" xr:uid="{00000000-0005-0000-0000-0000BA1B0000}"/>
    <cellStyle name="Normal 5 6 5 2 2" xfId="8224" xr:uid="{00000000-0005-0000-0000-0000BB1B0000}"/>
    <cellStyle name="Normal 5 6 5 2 2 2" xfId="16674" xr:uid="{EE54CCEC-7DD2-42E5-9856-D60DB5D4F24C}"/>
    <cellStyle name="Normal 5 6 5 2 2 3" xfId="25114" xr:uid="{F6A925F3-7F19-4CD7-8C80-FD6690B49B06}"/>
    <cellStyle name="Normal 5 6 5 2 3" xfId="12456" xr:uid="{DD3CBAB2-0903-406A-A2CA-21AF0F994BFF}"/>
    <cellStyle name="Normal 5 6 5 2 4" xfId="20897" xr:uid="{03FB0AEA-1EF6-45FD-A18D-B08B25322DF9}"/>
    <cellStyle name="Normal 5 6 5 3" xfId="6079" xr:uid="{00000000-0005-0000-0000-0000BC1B0000}"/>
    <cellStyle name="Normal 5 6 5 3 2" xfId="14529" xr:uid="{613C6DDD-9DE5-4ABD-B6BC-0AA06FAFE9FA}"/>
    <cellStyle name="Normal 5 6 5 3 3" xfId="22969" xr:uid="{13EDF0BF-3AAF-412A-8ACC-3F3B4848109A}"/>
    <cellStyle name="Normal 5 6 5 4" xfId="10311" xr:uid="{A1E6C78C-8929-40AF-A18D-C8EC6D540DF0}"/>
    <cellStyle name="Normal 5 6 5 5" xfId="18752" xr:uid="{75FAB90F-4AF0-4B42-A3B3-BBFA5122FEC3}"/>
    <cellStyle name="Normal 5 6 6" xfId="2186" xr:uid="{00000000-0005-0000-0000-0000BD1B0000}"/>
    <cellStyle name="Normal 5 6 6 2" xfId="4415" xr:uid="{00000000-0005-0000-0000-0000BE1B0000}"/>
    <cellStyle name="Normal 5 6 6 2 2" xfId="8637" xr:uid="{00000000-0005-0000-0000-0000BF1B0000}"/>
    <cellStyle name="Normal 5 6 6 2 2 2" xfId="17087" xr:uid="{B5982AF7-B75D-47B5-8AB7-67943073FA6E}"/>
    <cellStyle name="Normal 5 6 6 2 2 3" xfId="25527" xr:uid="{24A83620-58B7-4DBE-A325-511ADC398C8D}"/>
    <cellStyle name="Normal 5 6 6 2 3" xfId="12869" xr:uid="{371A6B82-8DB5-4198-854D-C32F3D773BE1}"/>
    <cellStyle name="Normal 5 6 6 2 4" xfId="21310" xr:uid="{837DABB4-7A37-4400-8907-B757A9A1321D}"/>
    <cellStyle name="Normal 5 6 6 3" xfId="6492" xr:uid="{00000000-0005-0000-0000-0000C01B0000}"/>
    <cellStyle name="Normal 5 6 6 3 2" xfId="14942" xr:uid="{E7671B94-56A9-4674-AA9E-8F7640919C3C}"/>
    <cellStyle name="Normal 5 6 6 3 3" xfId="23382" xr:uid="{607B5C68-7DA0-4C8E-94F2-7398DCC369F1}"/>
    <cellStyle name="Normal 5 6 6 4" xfId="10724" xr:uid="{E86CAC60-CDB5-4762-82DC-086CB3137310}"/>
    <cellStyle name="Normal 5 6 6 5" xfId="19165" xr:uid="{AB36C40F-F087-4129-B2C1-040CDCEFEB4B}"/>
    <cellStyle name="Normal 5 6 7" xfId="2622" xr:uid="{00000000-0005-0000-0000-0000C11B0000}"/>
    <cellStyle name="Normal 5 6 7 2" xfId="6905" xr:uid="{00000000-0005-0000-0000-0000C21B0000}"/>
    <cellStyle name="Normal 5 6 7 2 2" xfId="15355" xr:uid="{C6CDCD46-E78E-40E2-B7AA-8790E611F615}"/>
    <cellStyle name="Normal 5 6 7 2 3" xfId="23795" xr:uid="{F6D63806-C976-46EA-9F45-7F87C707B20C}"/>
    <cellStyle name="Normal 5 6 7 3" xfId="11137" xr:uid="{CC1DE72B-E511-46E1-AC6C-A0DC15BD90B9}"/>
    <cellStyle name="Normal 5 6 7 4" xfId="19578" xr:uid="{11A1FF98-3B03-44AF-B423-3F523DFD2F83}"/>
    <cellStyle name="Normal 5 6 8" xfId="4840" xr:uid="{00000000-0005-0000-0000-0000C31B0000}"/>
    <cellStyle name="Normal 5 6 8 2" xfId="13290" xr:uid="{42B7285A-773C-4F25-901B-A917592A49C2}"/>
    <cellStyle name="Normal 5 6 8 3" xfId="21730" xr:uid="{29E4C0B8-A601-4211-B214-789B44924EDC}"/>
    <cellStyle name="Normal 5 6 9" xfId="9072" xr:uid="{C4B2DD23-653F-4D8B-9A86-D1707C35A788}"/>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74A5CFDE-71C2-4C7D-B52F-AD4CFD2FE4C9}"/>
    <cellStyle name="Normal 5 7 2 2 2 3" xfId="24290" xr:uid="{CBDB5EF3-F32E-4654-BF9C-2B126B6D378D}"/>
    <cellStyle name="Normal 5 7 2 2 3" xfId="11632" xr:uid="{84392832-515F-4017-A379-8E97BCD0292B}"/>
    <cellStyle name="Normal 5 7 2 2 4" xfId="20073" xr:uid="{F1AAEB5C-1C86-443D-BE55-659A7A1E0AC8}"/>
    <cellStyle name="Normal 5 7 2 3" xfId="5255" xr:uid="{00000000-0005-0000-0000-0000C81B0000}"/>
    <cellStyle name="Normal 5 7 2 3 2" xfId="13705" xr:uid="{8E1F21FB-9542-4B4A-8F69-2DBE8C32A849}"/>
    <cellStyle name="Normal 5 7 2 3 3" xfId="22145" xr:uid="{E4619451-3F60-4B51-B729-607CA23261C9}"/>
    <cellStyle name="Normal 5 7 2 4" xfId="9487" xr:uid="{73924368-40B2-4491-AA7E-C7F48C3327A2}"/>
    <cellStyle name="Normal 5 7 2 5" xfId="17928" xr:uid="{06036EF6-DB40-4B6B-99E6-6CCFA7DD0C58}"/>
    <cellStyle name="Normal 5 7 3" xfId="1361" xr:uid="{00000000-0005-0000-0000-0000C91B0000}"/>
    <cellStyle name="Normal 5 7 3 2" xfId="3591" xr:uid="{00000000-0005-0000-0000-0000CA1B0000}"/>
    <cellStyle name="Normal 5 7 3 2 2" xfId="7813" xr:uid="{00000000-0005-0000-0000-0000CB1B0000}"/>
    <cellStyle name="Normal 5 7 3 2 2 2" xfId="16263" xr:uid="{914AE794-E254-47F8-BCCF-F2B95AFB3AD4}"/>
    <cellStyle name="Normal 5 7 3 2 2 3" xfId="24703" xr:uid="{D0000044-B5C9-4BB3-BDC9-4FBF049DA92E}"/>
    <cellStyle name="Normal 5 7 3 2 3" xfId="12045" xr:uid="{6DE8229B-0BFC-41BE-AD7E-12BACE3E940C}"/>
    <cellStyle name="Normal 5 7 3 2 4" xfId="20486" xr:uid="{D130218D-5568-4B45-99EB-953B6315E590}"/>
    <cellStyle name="Normal 5 7 3 3" xfId="5668" xr:uid="{00000000-0005-0000-0000-0000CC1B0000}"/>
    <cellStyle name="Normal 5 7 3 3 2" xfId="14118" xr:uid="{473B8F95-4419-4277-96EF-6419B7811BDD}"/>
    <cellStyle name="Normal 5 7 3 3 3" xfId="22558" xr:uid="{3B1FE796-1B10-4304-99A0-14D6E4E72B62}"/>
    <cellStyle name="Normal 5 7 3 4" xfId="9900" xr:uid="{E6D59BC3-B1AE-42B1-AFE5-40E1C27713A5}"/>
    <cellStyle name="Normal 5 7 3 5" xfId="18341" xr:uid="{FBA59C8B-3D02-4947-9B18-42BAA6723DCE}"/>
    <cellStyle name="Normal 5 7 4" xfId="1774" xr:uid="{00000000-0005-0000-0000-0000CD1B0000}"/>
    <cellStyle name="Normal 5 7 4 2" xfId="4004" xr:uid="{00000000-0005-0000-0000-0000CE1B0000}"/>
    <cellStyle name="Normal 5 7 4 2 2" xfId="8226" xr:uid="{00000000-0005-0000-0000-0000CF1B0000}"/>
    <cellStyle name="Normal 5 7 4 2 2 2" xfId="16676" xr:uid="{92F7B064-6369-4FE4-B3C6-F6DD3440E36A}"/>
    <cellStyle name="Normal 5 7 4 2 2 3" xfId="25116" xr:uid="{80E8FE72-2D6A-46F4-9FA3-3ABAF798D8CD}"/>
    <cellStyle name="Normal 5 7 4 2 3" xfId="12458" xr:uid="{996BAF30-495C-4060-98BC-4CDB2561CC9B}"/>
    <cellStyle name="Normal 5 7 4 2 4" xfId="20899" xr:uid="{699C36CA-5F22-4589-B5F6-81B2E8EB598F}"/>
    <cellStyle name="Normal 5 7 4 3" xfId="6081" xr:uid="{00000000-0005-0000-0000-0000D01B0000}"/>
    <cellStyle name="Normal 5 7 4 3 2" xfId="14531" xr:uid="{1989D782-0F32-4DB9-8116-47E1662AAACA}"/>
    <cellStyle name="Normal 5 7 4 3 3" xfId="22971" xr:uid="{752B614E-664F-4BF5-9F9D-8CA8DBC1BC34}"/>
    <cellStyle name="Normal 5 7 4 4" xfId="10313" xr:uid="{D64817A9-40F5-47ED-89A2-1FE8987D021B}"/>
    <cellStyle name="Normal 5 7 4 5" xfId="18754" xr:uid="{098402FD-ADF4-4E4C-9A77-F2D6280EAB50}"/>
    <cellStyle name="Normal 5 7 5" xfId="2188" xr:uid="{00000000-0005-0000-0000-0000D11B0000}"/>
    <cellStyle name="Normal 5 7 5 2" xfId="4417" xr:uid="{00000000-0005-0000-0000-0000D21B0000}"/>
    <cellStyle name="Normal 5 7 5 2 2" xfId="8639" xr:uid="{00000000-0005-0000-0000-0000D31B0000}"/>
    <cellStyle name="Normal 5 7 5 2 2 2" xfId="17089" xr:uid="{727C07AA-79DC-44EC-B34D-773FD29D26AD}"/>
    <cellStyle name="Normal 5 7 5 2 2 3" xfId="25529" xr:uid="{A20D40A5-16F4-4197-B71A-63A6E0AF9D44}"/>
    <cellStyle name="Normal 5 7 5 2 3" xfId="12871" xr:uid="{A4DEB2FE-5A0A-4490-A46C-B5926E094363}"/>
    <cellStyle name="Normal 5 7 5 2 4" xfId="21312" xr:uid="{5FB718D0-E302-4603-AC56-D3999E6863B9}"/>
    <cellStyle name="Normal 5 7 5 3" xfId="6494" xr:uid="{00000000-0005-0000-0000-0000D41B0000}"/>
    <cellStyle name="Normal 5 7 5 3 2" xfId="14944" xr:uid="{95E78315-EC54-49DB-A770-020750DD3AFC}"/>
    <cellStyle name="Normal 5 7 5 3 3" xfId="23384" xr:uid="{4542402A-2CA4-497C-9D14-09AE66659882}"/>
    <cellStyle name="Normal 5 7 5 4" xfId="10726" xr:uid="{00B97A18-E1C5-4B35-9D58-44F9844D0C78}"/>
    <cellStyle name="Normal 5 7 5 5" xfId="19167" xr:uid="{73D5C9C2-BED5-445F-893E-E91CF1CD5782}"/>
    <cellStyle name="Normal 5 7 6" xfId="2624" xr:uid="{00000000-0005-0000-0000-0000D51B0000}"/>
    <cellStyle name="Normal 5 7 6 2" xfId="6907" xr:uid="{00000000-0005-0000-0000-0000D61B0000}"/>
    <cellStyle name="Normal 5 7 6 2 2" xfId="15357" xr:uid="{DC20B8E7-611E-43DD-B770-C5D1BCF05E7C}"/>
    <cellStyle name="Normal 5 7 6 2 3" xfId="23797" xr:uid="{B53BD049-536C-4B18-8C47-F6E8DDD9883E}"/>
    <cellStyle name="Normal 5 7 6 3" xfId="11139" xr:uid="{BCDBF330-54EA-4510-810C-BBD4D2ADBC92}"/>
    <cellStyle name="Normal 5 7 6 4" xfId="19580" xr:uid="{F89A888A-DF47-4022-AC3E-787168EE440B}"/>
    <cellStyle name="Normal 5 7 7" xfId="4842" xr:uid="{00000000-0005-0000-0000-0000D71B0000}"/>
    <cellStyle name="Normal 5 7 7 2" xfId="13292" xr:uid="{AFDFB6A9-9430-4D94-B673-95BC1F20CBCF}"/>
    <cellStyle name="Normal 5 7 7 3" xfId="21732" xr:uid="{B8C3CC30-77C4-45EA-BB77-895AC94EE837}"/>
    <cellStyle name="Normal 5 7 8" xfId="9074" xr:uid="{2F2A1988-35C1-4F85-A392-6359B5359D61}"/>
    <cellStyle name="Normal 5 7 9" xfId="17515" xr:uid="{E6189B9F-AF9B-43CA-A85A-49ED0A4A481E}"/>
    <cellStyle name="Normal 5 8" xfId="880" xr:uid="{00000000-0005-0000-0000-0000D81B0000}"/>
    <cellStyle name="Normal 5 8 2" xfId="3115" xr:uid="{00000000-0005-0000-0000-0000D91B0000}"/>
    <cellStyle name="Normal 5 8 2 2" xfId="7337" xr:uid="{00000000-0005-0000-0000-0000DA1B0000}"/>
    <cellStyle name="Normal 5 8 2 2 2" xfId="15787" xr:uid="{D6405794-D8B6-4BD4-BCF1-DF0396935380}"/>
    <cellStyle name="Normal 5 8 2 2 3" xfId="24227" xr:uid="{8D83E367-D32F-44F1-BEC6-DB1DE4411D12}"/>
    <cellStyle name="Normal 5 8 2 3" xfId="11569" xr:uid="{36A05480-5CFB-48AB-BF6B-F6F34DF4BF4E}"/>
    <cellStyle name="Normal 5 8 2 4" xfId="20010" xr:uid="{9CF4C401-9A75-43C9-8354-8172B7789C73}"/>
    <cellStyle name="Normal 5 8 3" xfId="5192" xr:uid="{00000000-0005-0000-0000-0000DB1B0000}"/>
    <cellStyle name="Normal 5 8 3 2" xfId="13642" xr:uid="{84A4440A-DA68-4B97-B4C0-8DB324CCC08D}"/>
    <cellStyle name="Normal 5 8 3 3" xfId="22082" xr:uid="{B5A9D14F-8B6B-4035-8F15-E8BFD24C2DBB}"/>
    <cellStyle name="Normal 5 8 4" xfId="9424" xr:uid="{F59F2986-AE69-41C5-8E38-C898C5F16BE6}"/>
    <cellStyle name="Normal 5 8 5" xfId="17865" xr:uid="{CCCF844F-B8D5-4096-9E6B-BB2081F8CEC4}"/>
    <cellStyle name="Normal 5 9" xfId="1298" xr:uid="{00000000-0005-0000-0000-0000DC1B0000}"/>
    <cellStyle name="Normal 5 9 2" xfId="3528" xr:uid="{00000000-0005-0000-0000-0000DD1B0000}"/>
    <cellStyle name="Normal 5 9 2 2" xfId="7750" xr:uid="{00000000-0005-0000-0000-0000DE1B0000}"/>
    <cellStyle name="Normal 5 9 2 2 2" xfId="16200" xr:uid="{37A17C3C-B4E3-49D6-B0B5-DB92E5DA2B1C}"/>
    <cellStyle name="Normal 5 9 2 2 3" xfId="24640" xr:uid="{E60BDE71-40BE-4339-B5AD-762C079793BA}"/>
    <cellStyle name="Normal 5 9 2 3" xfId="11982" xr:uid="{16B14092-6C8B-4AA0-A84B-F224F2C5255F}"/>
    <cellStyle name="Normal 5 9 2 4" xfId="20423" xr:uid="{A9463E73-82C6-4C4F-95B5-A5792EDAED78}"/>
    <cellStyle name="Normal 5 9 3" xfId="5605" xr:uid="{00000000-0005-0000-0000-0000DF1B0000}"/>
    <cellStyle name="Normal 5 9 3 2" xfId="14055" xr:uid="{353883B2-98BA-4557-8CC3-BB684A04EBFA}"/>
    <cellStyle name="Normal 5 9 3 3" xfId="22495" xr:uid="{D17E2188-0CA2-4127-B80B-574EB2B4DE9F}"/>
    <cellStyle name="Normal 5 9 4" xfId="9837" xr:uid="{57986F1D-30CB-47A8-9E9A-66B9EFCEABF2}"/>
    <cellStyle name="Normal 5 9 5" xfId="18278" xr:uid="{7E6771BC-AB1C-4425-BDC5-1F83FF3F84C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CFBBB572-1FEF-43DB-AA9E-B9BFFA934F35}"/>
    <cellStyle name="Normal 8 10 2 2 3" xfId="25530" xr:uid="{C75BA9B9-597F-4D91-960A-2032EBF4D69D}"/>
    <cellStyle name="Normal 8 10 2 3" xfId="12872" xr:uid="{07409BAE-A010-4863-93BD-9B345ECC571B}"/>
    <cellStyle name="Normal 8 10 2 4" xfId="21313" xr:uid="{5834627D-7803-4478-B22D-C6504EE9AA01}"/>
    <cellStyle name="Normal 8 10 3" xfId="6495" xr:uid="{00000000-0005-0000-0000-0000EB1B0000}"/>
    <cellStyle name="Normal 8 10 3 2" xfId="14945" xr:uid="{7542D8A8-978A-44FF-A336-EEB3954B0E7B}"/>
    <cellStyle name="Normal 8 10 3 3" xfId="23385" xr:uid="{4D59ED0A-A33D-4FB3-8F15-B2187DBCBB89}"/>
    <cellStyle name="Normal 8 10 4" xfId="10727" xr:uid="{A69878B0-5423-46F2-B8E2-6028B6EDA985}"/>
    <cellStyle name="Normal 8 10 5" xfId="19168" xr:uid="{DBFE13DC-FADB-405B-B6D7-BB6FC4DEFBEC}"/>
    <cellStyle name="Normal 8 11" xfId="2625" xr:uid="{00000000-0005-0000-0000-0000EC1B0000}"/>
    <cellStyle name="Normal 8 11 2" xfId="6908" xr:uid="{00000000-0005-0000-0000-0000ED1B0000}"/>
    <cellStyle name="Normal 8 11 2 2" xfId="15358" xr:uid="{D9D82BCC-A3DC-4E8F-9CEF-DCB7966D609C}"/>
    <cellStyle name="Normal 8 11 2 3" xfId="23798" xr:uid="{22A58898-EF93-4FF7-92BE-D6E929F73FF9}"/>
    <cellStyle name="Normal 8 11 3" xfId="11140" xr:uid="{51AC70FD-4D16-49C8-9B55-7E9029FC9D7A}"/>
    <cellStyle name="Normal 8 11 4" xfId="19581" xr:uid="{EE106D99-B029-44B4-92F1-3ADC034046DF}"/>
    <cellStyle name="Normal 8 12" xfId="4843" xr:uid="{00000000-0005-0000-0000-0000EE1B0000}"/>
    <cellStyle name="Normal 8 12 2" xfId="13293" xr:uid="{66AA082F-EB11-4F64-A9DB-CC656937BE2C}"/>
    <cellStyle name="Normal 8 12 3" xfId="21733" xr:uid="{40E04D19-05E9-4CC4-A3AD-229C1065D788}"/>
    <cellStyle name="Normal 8 13" xfId="9075" xr:uid="{34A274D1-A368-48A0-B20C-03FEF79BD1E5}"/>
    <cellStyle name="Normal 8 14" xfId="17516" xr:uid="{7ACEA5E6-AF06-49EA-9BD7-65E050E7A6CD}"/>
    <cellStyle name="Normal 8 2" xfId="479" xr:uid="{00000000-0005-0000-0000-0000EF1B0000}"/>
    <cellStyle name="Normal 8 2 10" xfId="2626" xr:uid="{00000000-0005-0000-0000-0000F01B0000}"/>
    <cellStyle name="Normal 8 2 10 2" xfId="6909" xr:uid="{00000000-0005-0000-0000-0000F11B0000}"/>
    <cellStyle name="Normal 8 2 10 2 2" xfId="15359" xr:uid="{E425ED76-0712-48BC-AE20-12A254F0E5A4}"/>
    <cellStyle name="Normal 8 2 10 2 3" xfId="23799" xr:uid="{1065A66D-867D-4E4C-8BFB-594876EF4621}"/>
    <cellStyle name="Normal 8 2 10 3" xfId="11141" xr:uid="{4078D3CB-AF0D-4B33-BDE8-795220684C8F}"/>
    <cellStyle name="Normal 8 2 10 4" xfId="19582" xr:uid="{32A04487-0D82-41D6-9907-71F8351DCC01}"/>
    <cellStyle name="Normal 8 2 11" xfId="4844" xr:uid="{00000000-0005-0000-0000-0000F21B0000}"/>
    <cellStyle name="Normal 8 2 11 2" xfId="13294" xr:uid="{D91C3BA8-D433-4666-8A85-D1B4AFB36B72}"/>
    <cellStyle name="Normal 8 2 11 3" xfId="21734" xr:uid="{F6F79BB1-6CA5-43DB-847B-6396D9984191}"/>
    <cellStyle name="Normal 8 2 12" xfId="9076" xr:uid="{CDF1667B-4310-4F05-8A04-9FFF9431155C}"/>
    <cellStyle name="Normal 8 2 13" xfId="17517" xr:uid="{E771036E-4587-4118-9D45-44B7684DD769}"/>
    <cellStyle name="Normal 8 2 2" xfId="480" xr:uid="{00000000-0005-0000-0000-0000F31B0000}"/>
    <cellStyle name="Normal 8 2 2 10" xfId="4845" xr:uid="{00000000-0005-0000-0000-0000F41B0000}"/>
    <cellStyle name="Normal 8 2 2 10 2" xfId="13295" xr:uid="{92D30BE1-C6E4-431F-93B5-714233F26B61}"/>
    <cellStyle name="Normal 8 2 2 10 3" xfId="21735" xr:uid="{A178FEB2-DA56-4072-90BF-48D77DC2EFA7}"/>
    <cellStyle name="Normal 8 2 2 11" xfId="9077" xr:uid="{BC700AEF-5173-4DC5-B37C-F74D5967BC4D}"/>
    <cellStyle name="Normal 8 2 2 12" xfId="17518" xr:uid="{5A0AD350-CC98-4588-825F-86E4AE58FC57}"/>
    <cellStyle name="Normal 8 2 2 2" xfId="481" xr:uid="{00000000-0005-0000-0000-0000F51B0000}"/>
    <cellStyle name="Normal 8 2 2 2 10" xfId="9078" xr:uid="{051834DB-F850-44F0-81BB-52C1A9428622}"/>
    <cellStyle name="Normal 8 2 2 2 11" xfId="17519" xr:uid="{C66B358F-B1C1-4F3B-AE00-5814735FB7C7}"/>
    <cellStyle name="Normal 8 2 2 2 2" xfId="482" xr:uid="{00000000-0005-0000-0000-0000F61B0000}"/>
    <cellStyle name="Normal 8 2 2 2 2 10" xfId="17520" xr:uid="{4CFAC0D2-46C6-4F99-BEF4-9CD92AE92161}"/>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CB071A5C-30C0-4E24-83C4-239F7919F511}"/>
    <cellStyle name="Normal 8 2 2 2 2 2 2 2 2 3" xfId="24296" xr:uid="{66FEFFC9-FBC8-4732-9C82-697B1EAD6C44}"/>
    <cellStyle name="Normal 8 2 2 2 2 2 2 2 3" xfId="11638" xr:uid="{C4AC90E7-97D5-4F2F-B54B-7E9AACB9AD53}"/>
    <cellStyle name="Normal 8 2 2 2 2 2 2 2 4" xfId="20079" xr:uid="{40998560-4431-4785-89A8-CC7882A5A655}"/>
    <cellStyle name="Normal 8 2 2 2 2 2 2 3" xfId="5261" xr:uid="{00000000-0005-0000-0000-0000FB1B0000}"/>
    <cellStyle name="Normal 8 2 2 2 2 2 2 3 2" xfId="13711" xr:uid="{6150AD7B-B596-46FB-B342-AF7FA2B10CB7}"/>
    <cellStyle name="Normal 8 2 2 2 2 2 2 3 3" xfId="22151" xr:uid="{55D7D9A1-44F6-4175-A453-1827A2A332BD}"/>
    <cellStyle name="Normal 8 2 2 2 2 2 2 4" xfId="9493" xr:uid="{4A8CF8D0-F777-4538-A665-974950FD0069}"/>
    <cellStyle name="Normal 8 2 2 2 2 2 2 5" xfId="17934" xr:uid="{6C0CCF6B-72DC-4D38-8A20-544E2AA6ED07}"/>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A7A3FDC1-5126-4027-8154-33ADD7B06C0C}"/>
    <cellStyle name="Normal 8 2 2 2 2 2 3 2 2 3" xfId="24709" xr:uid="{F117A86D-77DC-4E5B-895E-415FAF7C1E59}"/>
    <cellStyle name="Normal 8 2 2 2 2 2 3 2 3" xfId="12051" xr:uid="{62D077BF-CE02-471D-A47E-281DF31DBA69}"/>
    <cellStyle name="Normal 8 2 2 2 2 2 3 2 4" xfId="20492" xr:uid="{4A04D6C5-AB6E-407A-BFFC-11482913EC5D}"/>
    <cellStyle name="Normal 8 2 2 2 2 2 3 3" xfId="5674" xr:uid="{00000000-0005-0000-0000-0000FF1B0000}"/>
    <cellStyle name="Normal 8 2 2 2 2 2 3 3 2" xfId="14124" xr:uid="{B5253FB4-4C21-43C3-B431-57ED8CD48AE0}"/>
    <cellStyle name="Normal 8 2 2 2 2 2 3 3 3" xfId="22564" xr:uid="{95931932-F996-40EA-8DA8-921F6D02D2C1}"/>
    <cellStyle name="Normal 8 2 2 2 2 2 3 4" xfId="9906" xr:uid="{8B6B8EDE-8BEC-418A-A472-05E663ECCD0C}"/>
    <cellStyle name="Normal 8 2 2 2 2 2 3 5" xfId="18347" xr:uid="{20617F98-3FE3-44BD-AA0F-E7706915F58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386950C6-BF31-4B6F-80E4-E45F8E8E08C2}"/>
    <cellStyle name="Normal 8 2 2 2 2 2 4 2 2 3" xfId="25122" xr:uid="{86779154-F8B4-40B8-8F85-AC97CFF8238A}"/>
    <cellStyle name="Normal 8 2 2 2 2 2 4 2 3" xfId="12464" xr:uid="{3F39954C-B3D4-4581-B81A-42303BD1F3E8}"/>
    <cellStyle name="Normal 8 2 2 2 2 2 4 2 4" xfId="20905" xr:uid="{0A2292D7-BEED-45F0-B59E-57459AC93113}"/>
    <cellStyle name="Normal 8 2 2 2 2 2 4 3" xfId="6087" xr:uid="{00000000-0005-0000-0000-0000031C0000}"/>
    <cellStyle name="Normal 8 2 2 2 2 2 4 3 2" xfId="14537" xr:uid="{9F94BB67-A717-4990-BE9C-4044612EDC03}"/>
    <cellStyle name="Normal 8 2 2 2 2 2 4 3 3" xfId="22977" xr:uid="{8BF3BD1F-D0AC-408B-B2F1-94CC52A5ADD9}"/>
    <cellStyle name="Normal 8 2 2 2 2 2 4 4" xfId="10319" xr:uid="{F58E9B59-B54A-4289-809D-035F65BC52B8}"/>
    <cellStyle name="Normal 8 2 2 2 2 2 4 5" xfId="18760" xr:uid="{E081A601-913D-4B3B-8984-AE3CCB24432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090A4BF3-5439-4B83-8C1D-2BB97A8C56DC}"/>
    <cellStyle name="Normal 8 2 2 2 2 2 5 2 2 3" xfId="25535" xr:uid="{F5390E79-D901-4338-B340-645DA74E87BC}"/>
    <cellStyle name="Normal 8 2 2 2 2 2 5 2 3" xfId="12877" xr:uid="{3D756ED2-B89B-4DE8-9D01-E97470EBCC31}"/>
    <cellStyle name="Normal 8 2 2 2 2 2 5 2 4" xfId="21318" xr:uid="{89A2E818-2EE0-40B7-89AA-F5AC06B20F2A}"/>
    <cellStyle name="Normal 8 2 2 2 2 2 5 3" xfId="6500" xr:uid="{00000000-0005-0000-0000-0000071C0000}"/>
    <cellStyle name="Normal 8 2 2 2 2 2 5 3 2" xfId="14950" xr:uid="{697AE96D-A140-4BE6-A980-E849CD309B15}"/>
    <cellStyle name="Normal 8 2 2 2 2 2 5 3 3" xfId="23390" xr:uid="{ACCBC412-7391-44B4-A25E-39B49B924715}"/>
    <cellStyle name="Normal 8 2 2 2 2 2 5 4" xfId="10732" xr:uid="{07D4A087-449F-4821-9EF7-6B158589D7EE}"/>
    <cellStyle name="Normal 8 2 2 2 2 2 5 5" xfId="19173" xr:uid="{87FFD570-CB83-4572-BD57-36CFE19718C2}"/>
    <cellStyle name="Normal 8 2 2 2 2 2 6" xfId="2630" xr:uid="{00000000-0005-0000-0000-0000081C0000}"/>
    <cellStyle name="Normal 8 2 2 2 2 2 6 2" xfId="6913" xr:uid="{00000000-0005-0000-0000-0000091C0000}"/>
    <cellStyle name="Normal 8 2 2 2 2 2 6 2 2" xfId="15363" xr:uid="{F992E273-DA7A-4410-B3FC-D810DD3F8876}"/>
    <cellStyle name="Normal 8 2 2 2 2 2 6 2 3" xfId="23803" xr:uid="{560239BF-153D-4F63-A089-32C5CBD7C061}"/>
    <cellStyle name="Normal 8 2 2 2 2 2 6 3" xfId="11145" xr:uid="{EAF3D6B3-9EDA-4688-B121-C2D7B93E8632}"/>
    <cellStyle name="Normal 8 2 2 2 2 2 6 4" xfId="19586" xr:uid="{B40FD2D3-7AB2-4AF2-BA39-3F0D7390CC00}"/>
    <cellStyle name="Normal 8 2 2 2 2 2 7" xfId="4848" xr:uid="{00000000-0005-0000-0000-00000A1C0000}"/>
    <cellStyle name="Normal 8 2 2 2 2 2 7 2" xfId="13298" xr:uid="{5C81F6DD-517C-4011-B28E-C1C0E767F33C}"/>
    <cellStyle name="Normal 8 2 2 2 2 2 7 3" xfId="21738" xr:uid="{E26B140B-944E-49C4-B41B-573E21A34616}"/>
    <cellStyle name="Normal 8 2 2 2 2 2 8" xfId="9080" xr:uid="{C86D88C1-CA10-4946-9CA2-6FC71C1AAB29}"/>
    <cellStyle name="Normal 8 2 2 2 2 2 9" xfId="17521" xr:uid="{24E189DD-5A94-44C7-B764-2CA6A190BEF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E4887A28-79DD-4F4C-9457-022624249859}"/>
    <cellStyle name="Normal 8 2 2 2 2 3 2 2 3" xfId="24295" xr:uid="{98330CF3-67DE-43AB-BCF6-5BD8CE136C66}"/>
    <cellStyle name="Normal 8 2 2 2 2 3 2 3" xfId="11637" xr:uid="{01323211-830E-486D-A0C3-5529D4FF958B}"/>
    <cellStyle name="Normal 8 2 2 2 2 3 2 4" xfId="20078" xr:uid="{2B761CFA-DD46-4F77-8505-4D87F172012F}"/>
    <cellStyle name="Normal 8 2 2 2 2 3 3" xfId="5260" xr:uid="{00000000-0005-0000-0000-00000E1C0000}"/>
    <cellStyle name="Normal 8 2 2 2 2 3 3 2" xfId="13710" xr:uid="{0DE45F3D-AC14-47FA-9D99-2CC628CDCB7B}"/>
    <cellStyle name="Normal 8 2 2 2 2 3 3 3" xfId="22150" xr:uid="{75551BCD-37CB-4A1D-82CA-28EA6C364A69}"/>
    <cellStyle name="Normal 8 2 2 2 2 3 4" xfId="9492" xr:uid="{2359CE4A-B4C6-4737-8E3A-68FC9BE5775D}"/>
    <cellStyle name="Normal 8 2 2 2 2 3 5" xfId="17933" xr:uid="{4D9B75CA-A497-4679-90EC-30B7886CBD5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9A587CA8-C0C3-48F6-818E-5CF1B7769F6C}"/>
    <cellStyle name="Normal 8 2 2 2 2 4 2 2 3" xfId="24708" xr:uid="{F0BE1EDE-BB55-44AC-8074-3FA0DF1EFA08}"/>
    <cellStyle name="Normal 8 2 2 2 2 4 2 3" xfId="12050" xr:uid="{835E95CD-6267-478B-A41E-7C643D323AB4}"/>
    <cellStyle name="Normal 8 2 2 2 2 4 2 4" xfId="20491" xr:uid="{4A84E641-BE4A-4940-A7ED-C57DF9B79D4D}"/>
    <cellStyle name="Normal 8 2 2 2 2 4 3" xfId="5673" xr:uid="{00000000-0005-0000-0000-0000121C0000}"/>
    <cellStyle name="Normal 8 2 2 2 2 4 3 2" xfId="14123" xr:uid="{4710BA94-6146-470C-A541-F09CACE5960E}"/>
    <cellStyle name="Normal 8 2 2 2 2 4 3 3" xfId="22563" xr:uid="{B861843C-F886-4843-B4C5-73E5B4C734AB}"/>
    <cellStyle name="Normal 8 2 2 2 2 4 4" xfId="9905" xr:uid="{851BC678-DC27-43E6-A58B-F0566FA25569}"/>
    <cellStyle name="Normal 8 2 2 2 2 4 5" xfId="18346" xr:uid="{9C620AFB-22ED-481C-A88F-7B0B46E08D1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72EF97A-683F-4FD3-B259-E0E6B2163A48}"/>
    <cellStyle name="Normal 8 2 2 2 2 5 2 2 3" xfId="25121" xr:uid="{2880F310-3CDE-4E08-BD62-E1D3024E47E8}"/>
    <cellStyle name="Normal 8 2 2 2 2 5 2 3" xfId="12463" xr:uid="{F5196369-DB71-4ED0-84C1-DC43CAD00C95}"/>
    <cellStyle name="Normal 8 2 2 2 2 5 2 4" xfId="20904" xr:uid="{6F56BF30-E5F9-4C1D-8CA5-5D8C3B0933D5}"/>
    <cellStyle name="Normal 8 2 2 2 2 5 3" xfId="6086" xr:uid="{00000000-0005-0000-0000-0000161C0000}"/>
    <cellStyle name="Normal 8 2 2 2 2 5 3 2" xfId="14536" xr:uid="{7B734366-D856-4CEA-B580-80501B5AA54A}"/>
    <cellStyle name="Normal 8 2 2 2 2 5 3 3" xfId="22976" xr:uid="{DA238552-3B8B-4CD1-BA4A-5E34D7806B17}"/>
    <cellStyle name="Normal 8 2 2 2 2 5 4" xfId="10318" xr:uid="{85D8BE03-6131-499F-AD43-F0347618CF02}"/>
    <cellStyle name="Normal 8 2 2 2 2 5 5" xfId="18759" xr:uid="{C150A794-B7A1-40CC-9719-3C205334A9E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7AC576F1-C37D-45AC-89AD-D3127FA88E50}"/>
    <cellStyle name="Normal 8 2 2 2 2 6 2 2 3" xfId="25534" xr:uid="{D6D0CE20-45C4-4440-9AA0-659360EF9C1F}"/>
    <cellStyle name="Normal 8 2 2 2 2 6 2 3" xfId="12876" xr:uid="{80AC59F1-8E6A-4196-9D1E-F36F3407E600}"/>
    <cellStyle name="Normal 8 2 2 2 2 6 2 4" xfId="21317" xr:uid="{E741B6E0-1E61-4672-9C5B-196631AEE466}"/>
    <cellStyle name="Normal 8 2 2 2 2 6 3" xfId="6499" xr:uid="{00000000-0005-0000-0000-00001A1C0000}"/>
    <cellStyle name="Normal 8 2 2 2 2 6 3 2" xfId="14949" xr:uid="{8153B596-1D5A-48AB-B7B4-65365E0AC07F}"/>
    <cellStyle name="Normal 8 2 2 2 2 6 3 3" xfId="23389" xr:uid="{B0A0709B-5872-4F2D-96A6-82CF553E3E9C}"/>
    <cellStyle name="Normal 8 2 2 2 2 6 4" xfId="10731" xr:uid="{432DF1AC-97C9-48C5-A809-12DBA629DBD3}"/>
    <cellStyle name="Normal 8 2 2 2 2 6 5" xfId="19172" xr:uid="{7294E3C4-AF23-49A0-94AD-2EEF54AAC9CE}"/>
    <cellStyle name="Normal 8 2 2 2 2 7" xfId="2629" xr:uid="{00000000-0005-0000-0000-00001B1C0000}"/>
    <cellStyle name="Normal 8 2 2 2 2 7 2" xfId="6912" xr:uid="{00000000-0005-0000-0000-00001C1C0000}"/>
    <cellStyle name="Normal 8 2 2 2 2 7 2 2" xfId="15362" xr:uid="{88EADD7E-3A39-404B-8337-1CEC4D8AE3F6}"/>
    <cellStyle name="Normal 8 2 2 2 2 7 2 3" xfId="23802" xr:uid="{815A3D9F-6CF4-4634-A169-BF6E92BB17B8}"/>
    <cellStyle name="Normal 8 2 2 2 2 7 3" xfId="11144" xr:uid="{ED730623-ACBC-48FF-8A9C-9513631C0D8D}"/>
    <cellStyle name="Normal 8 2 2 2 2 7 4" xfId="19585" xr:uid="{B03C3372-0468-41ED-97D0-73133C0AA6C8}"/>
    <cellStyle name="Normal 8 2 2 2 2 8" xfId="4847" xr:uid="{00000000-0005-0000-0000-00001D1C0000}"/>
    <cellStyle name="Normal 8 2 2 2 2 8 2" xfId="13297" xr:uid="{0494B4DD-CE59-45D5-8BD9-BC95C717B1E7}"/>
    <cellStyle name="Normal 8 2 2 2 2 8 3" xfId="21737" xr:uid="{EBF9664E-BA02-4E7F-A749-26D9FBD8B008}"/>
    <cellStyle name="Normal 8 2 2 2 2 9" xfId="9079" xr:uid="{81E797F7-346A-4915-B618-E196A9689F2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85E4B060-B2CA-4640-BB18-1A56D0BDE92E}"/>
    <cellStyle name="Normal 8 2 2 2 3 2 2 2 3" xfId="24297" xr:uid="{7E2C3F6C-F6E5-446F-9263-23AFCDF47552}"/>
    <cellStyle name="Normal 8 2 2 2 3 2 2 3" xfId="11639" xr:uid="{D98CFE56-C766-4DC0-BEAB-388D68AABB50}"/>
    <cellStyle name="Normal 8 2 2 2 3 2 2 4" xfId="20080" xr:uid="{B3B89E10-9477-4D37-B621-4349FEBAA8F4}"/>
    <cellStyle name="Normal 8 2 2 2 3 2 3" xfId="5262" xr:uid="{00000000-0005-0000-0000-0000221C0000}"/>
    <cellStyle name="Normal 8 2 2 2 3 2 3 2" xfId="13712" xr:uid="{C6AB3A2E-8CAF-41C2-A2DA-BBCAFAF4F90D}"/>
    <cellStyle name="Normal 8 2 2 2 3 2 3 3" xfId="22152" xr:uid="{A169D02F-4FF0-4982-A5E4-7E94EA0D1FED}"/>
    <cellStyle name="Normal 8 2 2 2 3 2 4" xfId="9494" xr:uid="{1ACC9813-DB60-419D-94D5-D8A0DB39C18E}"/>
    <cellStyle name="Normal 8 2 2 2 3 2 5" xfId="17935" xr:uid="{5215AD7A-D40E-42FE-B22A-56974FD4C57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6840C89C-6456-4F8F-911D-435842192B5E}"/>
    <cellStyle name="Normal 8 2 2 2 3 3 2 2 3" xfId="24710" xr:uid="{D7669633-1D0F-492D-AB44-F1F7A9FFD555}"/>
    <cellStyle name="Normal 8 2 2 2 3 3 2 3" xfId="12052" xr:uid="{85613C1C-E95E-4AAA-8900-2E9556F577A3}"/>
    <cellStyle name="Normal 8 2 2 2 3 3 2 4" xfId="20493" xr:uid="{BD7594B7-9D38-435B-8459-3E3AEB5B461D}"/>
    <cellStyle name="Normal 8 2 2 2 3 3 3" xfId="5675" xr:uid="{00000000-0005-0000-0000-0000261C0000}"/>
    <cellStyle name="Normal 8 2 2 2 3 3 3 2" xfId="14125" xr:uid="{D6AFD444-3262-4F7F-90CC-6BD307095699}"/>
    <cellStyle name="Normal 8 2 2 2 3 3 3 3" xfId="22565" xr:uid="{05BF524E-61E2-4D7F-AA4B-5C25012676E2}"/>
    <cellStyle name="Normal 8 2 2 2 3 3 4" xfId="9907" xr:uid="{79D3DA42-D3CD-44B1-BAAD-CB80F9E05DB8}"/>
    <cellStyle name="Normal 8 2 2 2 3 3 5" xfId="18348" xr:uid="{D09E710C-F74B-48C4-95E5-20E9F2E8163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44EE7311-F674-47D3-B452-BB856D995117}"/>
    <cellStyle name="Normal 8 2 2 2 3 4 2 2 3" xfId="25123" xr:uid="{C25A2111-3653-401B-BB46-6B0D1ADDEBD4}"/>
    <cellStyle name="Normal 8 2 2 2 3 4 2 3" xfId="12465" xr:uid="{F2D14BBD-F420-4DB1-AB2B-B7338B6FCCEF}"/>
    <cellStyle name="Normal 8 2 2 2 3 4 2 4" xfId="20906" xr:uid="{1A6C01FE-E4DA-4147-BFCB-1533145FC845}"/>
    <cellStyle name="Normal 8 2 2 2 3 4 3" xfId="6088" xr:uid="{00000000-0005-0000-0000-00002A1C0000}"/>
    <cellStyle name="Normal 8 2 2 2 3 4 3 2" xfId="14538" xr:uid="{AC3A1DA9-273E-4A1C-8FCB-01B97F83FF27}"/>
    <cellStyle name="Normal 8 2 2 2 3 4 3 3" xfId="22978" xr:uid="{103929C7-0415-403E-91CA-FC9CA5E1478D}"/>
    <cellStyle name="Normal 8 2 2 2 3 4 4" xfId="10320" xr:uid="{D20E76CF-6655-4B64-81AB-31B048C9183F}"/>
    <cellStyle name="Normal 8 2 2 2 3 4 5" xfId="18761" xr:uid="{D19BA3FC-D376-47EA-9B47-F378F400435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53CF5704-7558-409E-A1B6-E300FF0C8C49}"/>
    <cellStyle name="Normal 8 2 2 2 3 5 2 2 3" xfId="25536" xr:uid="{C456AA61-8949-4139-AEAF-95034FFCF36B}"/>
    <cellStyle name="Normal 8 2 2 2 3 5 2 3" xfId="12878" xr:uid="{85207FBF-C229-417F-B44C-B66DB9513E61}"/>
    <cellStyle name="Normal 8 2 2 2 3 5 2 4" xfId="21319" xr:uid="{7C0053A7-7B8F-4765-B64E-7DE20A78A912}"/>
    <cellStyle name="Normal 8 2 2 2 3 5 3" xfId="6501" xr:uid="{00000000-0005-0000-0000-00002E1C0000}"/>
    <cellStyle name="Normal 8 2 2 2 3 5 3 2" xfId="14951" xr:uid="{733DC64F-68AB-4B19-92AE-07DE5D884941}"/>
    <cellStyle name="Normal 8 2 2 2 3 5 3 3" xfId="23391" xr:uid="{65C2C6CF-026A-46AB-AD42-474CF6A9B2A6}"/>
    <cellStyle name="Normal 8 2 2 2 3 5 4" xfId="10733" xr:uid="{4A83D5C0-53F9-4B25-8642-E1CC3E12584D}"/>
    <cellStyle name="Normal 8 2 2 2 3 5 5" xfId="19174" xr:uid="{3268F01B-6D39-4A8B-8E21-AABFA4537383}"/>
    <cellStyle name="Normal 8 2 2 2 3 6" xfId="2631" xr:uid="{00000000-0005-0000-0000-00002F1C0000}"/>
    <cellStyle name="Normal 8 2 2 2 3 6 2" xfId="6914" xr:uid="{00000000-0005-0000-0000-0000301C0000}"/>
    <cellStyle name="Normal 8 2 2 2 3 6 2 2" xfId="15364" xr:uid="{9401B011-B5E1-41E1-907C-E5E449267DF9}"/>
    <cellStyle name="Normal 8 2 2 2 3 6 2 3" xfId="23804" xr:uid="{F8540BD8-7078-4D1C-82F8-329DE10F5A93}"/>
    <cellStyle name="Normal 8 2 2 2 3 6 3" xfId="11146" xr:uid="{9E43E3EF-F9AF-4C91-97BD-67122BFA92E2}"/>
    <cellStyle name="Normal 8 2 2 2 3 6 4" xfId="19587" xr:uid="{5D02853C-68FF-4BF3-AD78-8C7E5D6F45BA}"/>
    <cellStyle name="Normal 8 2 2 2 3 7" xfId="4849" xr:uid="{00000000-0005-0000-0000-0000311C0000}"/>
    <cellStyle name="Normal 8 2 2 2 3 7 2" xfId="13299" xr:uid="{1E580B48-4F99-4ABF-9E12-5293723B0B12}"/>
    <cellStyle name="Normal 8 2 2 2 3 7 3" xfId="21739" xr:uid="{FB16B2F9-C110-4E34-AE0D-1BEF3BBDCD8D}"/>
    <cellStyle name="Normal 8 2 2 2 3 8" xfId="9081" xr:uid="{8B01782D-9BE7-41D0-B17B-7C3FFACEAB6C}"/>
    <cellStyle name="Normal 8 2 2 2 3 9" xfId="17522" xr:uid="{635DE707-1039-4B2C-9308-FEECAEEA3A5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2CCDF9DB-5E76-45D2-AA30-68D3AF95B813}"/>
    <cellStyle name="Normal 8 2 2 2 4 2 2 3" xfId="24294" xr:uid="{2DC846F0-3E2A-4CA0-9061-47AE1D13CE30}"/>
    <cellStyle name="Normal 8 2 2 2 4 2 3" xfId="11636" xr:uid="{DB03C288-82DC-442B-A481-DF95F713D3B2}"/>
    <cellStyle name="Normal 8 2 2 2 4 2 4" xfId="20077" xr:uid="{672D47D6-5FC4-42F7-A29C-0982149A0563}"/>
    <cellStyle name="Normal 8 2 2 2 4 3" xfId="5259" xr:uid="{00000000-0005-0000-0000-0000351C0000}"/>
    <cellStyle name="Normal 8 2 2 2 4 3 2" xfId="13709" xr:uid="{0AE0BCDD-D6E4-46ED-B883-C024541B9139}"/>
    <cellStyle name="Normal 8 2 2 2 4 3 3" xfId="22149" xr:uid="{5599F8BD-CFBE-42B0-A64E-F804CFE7EAF5}"/>
    <cellStyle name="Normal 8 2 2 2 4 4" xfId="9491" xr:uid="{3EBD6A10-2346-47B2-9A90-7BD4D52AE4C5}"/>
    <cellStyle name="Normal 8 2 2 2 4 5" xfId="17932" xr:uid="{2F51967B-EA39-44C1-B0CB-B87097E85900}"/>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6424DA72-1D08-48ED-AB4B-2EAC4F459D9D}"/>
    <cellStyle name="Normal 8 2 2 2 5 2 2 3" xfId="24707" xr:uid="{8935F490-AD8D-4D28-A403-1D0A7FABE594}"/>
    <cellStyle name="Normal 8 2 2 2 5 2 3" xfId="12049" xr:uid="{E1042012-6E38-4045-A147-453B33D4357B}"/>
    <cellStyle name="Normal 8 2 2 2 5 2 4" xfId="20490" xr:uid="{A0B867B6-5666-4202-AC00-4E4A9F05C9AA}"/>
    <cellStyle name="Normal 8 2 2 2 5 3" xfId="5672" xr:uid="{00000000-0005-0000-0000-0000391C0000}"/>
    <cellStyle name="Normal 8 2 2 2 5 3 2" xfId="14122" xr:uid="{67646A76-4BD1-4D4B-9287-8690B58AB227}"/>
    <cellStyle name="Normal 8 2 2 2 5 3 3" xfId="22562" xr:uid="{6DB266B3-F0FD-4582-8CC0-F85EA4722AD1}"/>
    <cellStyle name="Normal 8 2 2 2 5 4" xfId="9904" xr:uid="{5C6F880B-328B-4FE5-A38E-FB50C435769C}"/>
    <cellStyle name="Normal 8 2 2 2 5 5" xfId="18345" xr:uid="{B37868D9-E4F8-42ED-A75C-9BF729308BC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EE3F99AB-530E-4517-8A47-BB60302ACD5C}"/>
    <cellStyle name="Normal 8 2 2 2 6 2 2 3" xfId="25120" xr:uid="{ABC94BFD-B75C-482F-9B10-454917AF4135}"/>
    <cellStyle name="Normal 8 2 2 2 6 2 3" xfId="12462" xr:uid="{16E30B7C-B76D-4819-9F17-F98759228E84}"/>
    <cellStyle name="Normal 8 2 2 2 6 2 4" xfId="20903" xr:uid="{B69C99F0-639F-416B-8527-75A8EAABC07E}"/>
    <cellStyle name="Normal 8 2 2 2 6 3" xfId="6085" xr:uid="{00000000-0005-0000-0000-00003D1C0000}"/>
    <cellStyle name="Normal 8 2 2 2 6 3 2" xfId="14535" xr:uid="{6A5A364A-A6A3-44A5-9460-88029B5BB04D}"/>
    <cellStyle name="Normal 8 2 2 2 6 3 3" xfId="22975" xr:uid="{ACDEB80B-03BD-472E-8A56-71520FB9DDD2}"/>
    <cellStyle name="Normal 8 2 2 2 6 4" xfId="10317" xr:uid="{2CC2E1E2-7F40-47C4-BA45-5A5972A45104}"/>
    <cellStyle name="Normal 8 2 2 2 6 5" xfId="18758" xr:uid="{016574B0-ACCB-491B-ABF9-64858D448C3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1ED14679-FC7D-4ABA-A9AC-2FADA4B3AB3E}"/>
    <cellStyle name="Normal 8 2 2 2 7 2 2 3" xfId="25533" xr:uid="{6548E220-3365-4678-A97F-4F4A5717DEB6}"/>
    <cellStyle name="Normal 8 2 2 2 7 2 3" xfId="12875" xr:uid="{02480B62-0167-4BF5-8067-013C51A1001C}"/>
    <cellStyle name="Normal 8 2 2 2 7 2 4" xfId="21316" xr:uid="{076B702E-3793-46DD-B245-9CE9574EE85C}"/>
    <cellStyle name="Normal 8 2 2 2 7 3" xfId="6498" xr:uid="{00000000-0005-0000-0000-0000411C0000}"/>
    <cellStyle name="Normal 8 2 2 2 7 3 2" xfId="14948" xr:uid="{677076F9-0170-461D-94A3-F8E0BBBA2E27}"/>
    <cellStyle name="Normal 8 2 2 2 7 3 3" xfId="23388" xr:uid="{95B9E737-C582-4510-8698-4099B74B1698}"/>
    <cellStyle name="Normal 8 2 2 2 7 4" xfId="10730" xr:uid="{B1941B46-5CD1-428A-B151-017B2DE6E180}"/>
    <cellStyle name="Normal 8 2 2 2 7 5" xfId="19171" xr:uid="{00B6F140-D2F5-483B-AF50-198FA2EBFD86}"/>
    <cellStyle name="Normal 8 2 2 2 8" xfId="2628" xr:uid="{00000000-0005-0000-0000-0000421C0000}"/>
    <cellStyle name="Normal 8 2 2 2 8 2" xfId="6911" xr:uid="{00000000-0005-0000-0000-0000431C0000}"/>
    <cellStyle name="Normal 8 2 2 2 8 2 2" xfId="15361" xr:uid="{63B08C4C-38D5-4BC7-94FF-682668ECF476}"/>
    <cellStyle name="Normal 8 2 2 2 8 2 3" xfId="23801" xr:uid="{122059CC-0D84-478B-A2D2-457FEADA24E4}"/>
    <cellStyle name="Normal 8 2 2 2 8 3" xfId="11143" xr:uid="{F1BF7EBA-5DA5-4DEF-A147-8C6D1537B6A6}"/>
    <cellStyle name="Normal 8 2 2 2 8 4" xfId="19584" xr:uid="{982171B0-0967-4773-9E8C-CC2775AC3559}"/>
    <cellStyle name="Normal 8 2 2 2 9" xfId="4846" xr:uid="{00000000-0005-0000-0000-0000441C0000}"/>
    <cellStyle name="Normal 8 2 2 2 9 2" xfId="13296" xr:uid="{E03527E0-6EAE-4C3A-8F0D-6C368016BF6C}"/>
    <cellStyle name="Normal 8 2 2 2 9 3" xfId="21736" xr:uid="{97D6925F-D63D-46B8-A879-D36966F11C5C}"/>
    <cellStyle name="Normal 8 2 2 3" xfId="485" xr:uid="{00000000-0005-0000-0000-0000451C0000}"/>
    <cellStyle name="Normal 8 2 2 3 10" xfId="17523" xr:uid="{CB72D0B7-B437-43BB-BACD-B5C215D84EF5}"/>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4A5C6CDE-8F2A-47E6-BDBB-F0D2AE977894}"/>
    <cellStyle name="Normal 8 2 2 3 2 2 2 2 3" xfId="24299" xr:uid="{91046CB0-C49A-4D5C-8F02-C362CB0F6061}"/>
    <cellStyle name="Normal 8 2 2 3 2 2 2 3" xfId="11641" xr:uid="{CD0ED40C-BE53-47B2-AA10-C17E48C9BA6F}"/>
    <cellStyle name="Normal 8 2 2 3 2 2 2 4" xfId="20082" xr:uid="{7E3BD1BC-EF3D-43EC-99BD-02B77C16132C}"/>
    <cellStyle name="Normal 8 2 2 3 2 2 3" xfId="5264" xr:uid="{00000000-0005-0000-0000-00004A1C0000}"/>
    <cellStyle name="Normal 8 2 2 3 2 2 3 2" xfId="13714" xr:uid="{6DE4CE2A-CD9F-4A9B-A9A0-31A1F1933EFC}"/>
    <cellStyle name="Normal 8 2 2 3 2 2 3 3" xfId="22154" xr:uid="{149C3D2E-E892-4E30-897B-921C0BD6262E}"/>
    <cellStyle name="Normal 8 2 2 3 2 2 4" xfId="9496" xr:uid="{A642AAE7-106E-4D63-8A64-F77BEB1227B0}"/>
    <cellStyle name="Normal 8 2 2 3 2 2 5" xfId="17937" xr:uid="{4BD7E779-82DA-4420-BDEC-29448C8B1B4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C2599605-9BA6-4E52-B46B-90525EDE34F4}"/>
    <cellStyle name="Normal 8 2 2 3 2 3 2 2 3" xfId="24712" xr:uid="{917A003C-E52D-4739-B82F-15E2927EAED3}"/>
    <cellStyle name="Normal 8 2 2 3 2 3 2 3" xfId="12054" xr:uid="{1448D147-8D41-449A-B08B-CB2BED6F2DE1}"/>
    <cellStyle name="Normal 8 2 2 3 2 3 2 4" xfId="20495" xr:uid="{01440F4D-EFB2-4F30-B326-119317773D96}"/>
    <cellStyle name="Normal 8 2 2 3 2 3 3" xfId="5677" xr:uid="{00000000-0005-0000-0000-00004E1C0000}"/>
    <cellStyle name="Normal 8 2 2 3 2 3 3 2" xfId="14127" xr:uid="{C4005B4C-2ADF-4874-A248-1DC81ED65EE0}"/>
    <cellStyle name="Normal 8 2 2 3 2 3 3 3" xfId="22567" xr:uid="{799BAE4F-C500-4816-8E74-BD2298A7D4F4}"/>
    <cellStyle name="Normal 8 2 2 3 2 3 4" xfId="9909" xr:uid="{DF75D7C4-F2C9-4D31-824E-37BF5A31503C}"/>
    <cellStyle name="Normal 8 2 2 3 2 3 5" xfId="18350" xr:uid="{6FE41982-E8ED-4EA1-8E68-AFE996FB950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F4E743AA-6194-4E17-9016-A55B28A22E94}"/>
    <cellStyle name="Normal 8 2 2 3 2 4 2 2 3" xfId="25125" xr:uid="{5EBC27EB-59F5-4B9E-AD6C-B4030B74E15F}"/>
    <cellStyle name="Normal 8 2 2 3 2 4 2 3" xfId="12467" xr:uid="{ABC06DEC-0FB4-40D0-9AF8-6F39E0E56E39}"/>
    <cellStyle name="Normal 8 2 2 3 2 4 2 4" xfId="20908" xr:uid="{784285E4-19EC-4825-880B-79DC35F5C5B2}"/>
    <cellStyle name="Normal 8 2 2 3 2 4 3" xfId="6090" xr:uid="{00000000-0005-0000-0000-0000521C0000}"/>
    <cellStyle name="Normal 8 2 2 3 2 4 3 2" xfId="14540" xr:uid="{C3CE0959-E38F-4DF8-93C9-B0DF4392A4AD}"/>
    <cellStyle name="Normal 8 2 2 3 2 4 3 3" xfId="22980" xr:uid="{8B6403BD-E5F6-4B48-9C02-677468699258}"/>
    <cellStyle name="Normal 8 2 2 3 2 4 4" xfId="10322" xr:uid="{AEFD4704-7729-4979-B0EF-A550804CE68A}"/>
    <cellStyle name="Normal 8 2 2 3 2 4 5" xfId="18763" xr:uid="{291185B8-2B8F-42B4-BB70-B5077F846E3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BFFD74C7-112A-4B46-BE4B-8CCA53752431}"/>
    <cellStyle name="Normal 8 2 2 3 2 5 2 2 3" xfId="25538" xr:uid="{742504A8-5543-4F11-A89B-27EFD93D9F8E}"/>
    <cellStyle name="Normal 8 2 2 3 2 5 2 3" xfId="12880" xr:uid="{67C0FF30-B236-438B-A3A4-8A2160BA6143}"/>
    <cellStyle name="Normal 8 2 2 3 2 5 2 4" xfId="21321" xr:uid="{8626B1E1-E916-4822-95EB-BAECEA6C00EA}"/>
    <cellStyle name="Normal 8 2 2 3 2 5 3" xfId="6503" xr:uid="{00000000-0005-0000-0000-0000561C0000}"/>
    <cellStyle name="Normal 8 2 2 3 2 5 3 2" xfId="14953" xr:uid="{166ECB4A-F108-41FA-B428-8E71E69679A7}"/>
    <cellStyle name="Normal 8 2 2 3 2 5 3 3" xfId="23393" xr:uid="{A5A92237-F8AB-42D4-A98A-FE2B4ED7B465}"/>
    <cellStyle name="Normal 8 2 2 3 2 5 4" xfId="10735" xr:uid="{B88895A9-4619-47E1-A619-2E78EAD2703F}"/>
    <cellStyle name="Normal 8 2 2 3 2 5 5" xfId="19176" xr:uid="{D5BCA32F-C958-43A9-BC10-D51AF97FC626}"/>
    <cellStyle name="Normal 8 2 2 3 2 6" xfId="2633" xr:uid="{00000000-0005-0000-0000-0000571C0000}"/>
    <cellStyle name="Normal 8 2 2 3 2 6 2" xfId="6916" xr:uid="{00000000-0005-0000-0000-0000581C0000}"/>
    <cellStyle name="Normal 8 2 2 3 2 6 2 2" xfId="15366" xr:uid="{65D77BD4-D6CE-4178-942C-3E90FF84D6FC}"/>
    <cellStyle name="Normal 8 2 2 3 2 6 2 3" xfId="23806" xr:uid="{C3D7A872-DAB9-4F11-82DA-1A3492D2AC81}"/>
    <cellStyle name="Normal 8 2 2 3 2 6 3" xfId="11148" xr:uid="{C1D053E5-34AD-446D-AAC8-E4613DFF9301}"/>
    <cellStyle name="Normal 8 2 2 3 2 6 4" xfId="19589" xr:uid="{B7E6BF9F-222C-412F-8F0E-A4462020F765}"/>
    <cellStyle name="Normal 8 2 2 3 2 7" xfId="4851" xr:uid="{00000000-0005-0000-0000-0000591C0000}"/>
    <cellStyle name="Normal 8 2 2 3 2 7 2" xfId="13301" xr:uid="{A9332D97-FA2B-492C-96B4-6DBFB03E91C5}"/>
    <cellStyle name="Normal 8 2 2 3 2 7 3" xfId="21741" xr:uid="{11DBAFF7-E3D4-4AEF-A4BE-6162A3A0AFC2}"/>
    <cellStyle name="Normal 8 2 2 3 2 8" xfId="9083" xr:uid="{84567ABE-F232-436B-82DA-8480359FEFB2}"/>
    <cellStyle name="Normal 8 2 2 3 2 9" xfId="17524" xr:uid="{57F434EE-F890-4735-A959-17F1A47CF13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AE4027FF-F2DD-474D-B075-E46E0C83D66D}"/>
    <cellStyle name="Normal 8 2 2 3 3 2 2 3" xfId="24298" xr:uid="{9C36B31D-8BF2-4831-9DC6-8F134F64D17D}"/>
    <cellStyle name="Normal 8 2 2 3 3 2 3" xfId="11640" xr:uid="{EA0265B0-E2DC-451B-95B2-F2B1902D110F}"/>
    <cellStyle name="Normal 8 2 2 3 3 2 4" xfId="20081" xr:uid="{678DE7AE-806C-4D87-9A25-7C794DF6AE59}"/>
    <cellStyle name="Normal 8 2 2 3 3 3" xfId="5263" xr:uid="{00000000-0005-0000-0000-00005D1C0000}"/>
    <cellStyle name="Normal 8 2 2 3 3 3 2" xfId="13713" xr:uid="{FFC71822-B21F-49C6-A370-636E95AD07DF}"/>
    <cellStyle name="Normal 8 2 2 3 3 3 3" xfId="22153" xr:uid="{46B61401-CC04-4116-BD9A-8508B6DA5244}"/>
    <cellStyle name="Normal 8 2 2 3 3 4" xfId="9495" xr:uid="{16C0D2CE-4C80-41E6-B219-397EF1D6E7C4}"/>
    <cellStyle name="Normal 8 2 2 3 3 5" xfId="17936" xr:uid="{561669F1-41D1-4BCE-83E8-595C1A11F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771F0814-A6AD-4743-8AD9-917AB14A45F0}"/>
    <cellStyle name="Normal 8 2 2 3 4 2 2 3" xfId="24711" xr:uid="{4F03AC70-FAE3-40E9-80D9-89AE19ABCECA}"/>
    <cellStyle name="Normal 8 2 2 3 4 2 3" xfId="12053" xr:uid="{B0E15E7B-DD2F-4BB1-A364-AA69EDE535F0}"/>
    <cellStyle name="Normal 8 2 2 3 4 2 4" xfId="20494" xr:uid="{D5071A93-4910-483D-B67F-671B7EA6CF04}"/>
    <cellStyle name="Normal 8 2 2 3 4 3" xfId="5676" xr:uid="{00000000-0005-0000-0000-0000611C0000}"/>
    <cellStyle name="Normal 8 2 2 3 4 3 2" xfId="14126" xr:uid="{F111251E-DC03-4E86-BD13-DCE9B266ADC0}"/>
    <cellStyle name="Normal 8 2 2 3 4 3 3" xfId="22566" xr:uid="{FFE9E08E-0034-49DD-9876-34496E1BE8B1}"/>
    <cellStyle name="Normal 8 2 2 3 4 4" xfId="9908" xr:uid="{426E7B30-D7AE-4116-924D-03D82EF87CA0}"/>
    <cellStyle name="Normal 8 2 2 3 4 5" xfId="18349" xr:uid="{938E7937-B475-4153-A45D-06479D19036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3B6AA17A-F07B-4DA5-95E2-19706492CC38}"/>
    <cellStyle name="Normal 8 2 2 3 5 2 2 3" xfId="25124" xr:uid="{D9DC6CB1-058E-4094-BAD4-5B5A9785BE82}"/>
    <cellStyle name="Normal 8 2 2 3 5 2 3" xfId="12466" xr:uid="{FE27EC66-35BF-4E54-AF70-520B2ACC8FBE}"/>
    <cellStyle name="Normal 8 2 2 3 5 2 4" xfId="20907" xr:uid="{A6CF8E62-9DAD-46B1-9B5F-32645F6EABFC}"/>
    <cellStyle name="Normal 8 2 2 3 5 3" xfId="6089" xr:uid="{00000000-0005-0000-0000-0000651C0000}"/>
    <cellStyle name="Normal 8 2 2 3 5 3 2" xfId="14539" xr:uid="{F090FDE8-536D-4107-A9DB-D6F23ABDB0D9}"/>
    <cellStyle name="Normal 8 2 2 3 5 3 3" xfId="22979" xr:uid="{A005AFEA-6A0E-4C2B-AFEF-0AEED08E0C90}"/>
    <cellStyle name="Normal 8 2 2 3 5 4" xfId="10321" xr:uid="{B5ECF6B9-ACE8-4A7F-A0CC-A9578C7BFD12}"/>
    <cellStyle name="Normal 8 2 2 3 5 5" xfId="18762" xr:uid="{71A9794A-F579-48B7-9679-8145E76B65BB}"/>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2A4FDE32-23EF-450C-9403-85F71F900BD7}"/>
    <cellStyle name="Normal 8 2 2 3 6 2 2 3" xfId="25537" xr:uid="{ADF012F6-8118-4F4D-984C-916728926311}"/>
    <cellStyle name="Normal 8 2 2 3 6 2 3" xfId="12879" xr:uid="{42EA6242-E6AF-4CC7-A3EC-F229F4252EA5}"/>
    <cellStyle name="Normal 8 2 2 3 6 2 4" xfId="21320" xr:uid="{6EDD3991-3D29-4B3B-ABC9-C0095466C49D}"/>
    <cellStyle name="Normal 8 2 2 3 6 3" xfId="6502" xr:uid="{00000000-0005-0000-0000-0000691C0000}"/>
    <cellStyle name="Normal 8 2 2 3 6 3 2" xfId="14952" xr:uid="{C5F2A605-60F5-4FFD-8C54-77E22DF22AE0}"/>
    <cellStyle name="Normal 8 2 2 3 6 3 3" xfId="23392" xr:uid="{336235E6-4882-4A45-A9F4-470E82E7202D}"/>
    <cellStyle name="Normal 8 2 2 3 6 4" xfId="10734" xr:uid="{45FC53BE-5B70-4616-B04A-0CAE93E00C22}"/>
    <cellStyle name="Normal 8 2 2 3 6 5" xfId="19175" xr:uid="{EAF0D8C9-3C3A-49DB-8DC8-F1ECF6C51F74}"/>
    <cellStyle name="Normal 8 2 2 3 7" xfId="2632" xr:uid="{00000000-0005-0000-0000-00006A1C0000}"/>
    <cellStyle name="Normal 8 2 2 3 7 2" xfId="6915" xr:uid="{00000000-0005-0000-0000-00006B1C0000}"/>
    <cellStyle name="Normal 8 2 2 3 7 2 2" xfId="15365" xr:uid="{67463F44-F995-4DCE-883D-330BFAB97D2A}"/>
    <cellStyle name="Normal 8 2 2 3 7 2 3" xfId="23805" xr:uid="{77D0E3E0-7404-4F8A-A40A-565D3527CC28}"/>
    <cellStyle name="Normal 8 2 2 3 7 3" xfId="11147" xr:uid="{167AA9BD-10BD-46B1-88B1-E412C8F0D380}"/>
    <cellStyle name="Normal 8 2 2 3 7 4" xfId="19588" xr:uid="{554AA9D9-FBE8-41C9-A816-05FB672CC913}"/>
    <cellStyle name="Normal 8 2 2 3 8" xfId="4850" xr:uid="{00000000-0005-0000-0000-00006C1C0000}"/>
    <cellStyle name="Normal 8 2 2 3 8 2" xfId="13300" xr:uid="{35C7E6FB-6EDD-4823-B9B9-4D7B1B0D4985}"/>
    <cellStyle name="Normal 8 2 2 3 8 3" xfId="21740" xr:uid="{7DA146D4-F307-452D-95A0-610772218E32}"/>
    <cellStyle name="Normal 8 2 2 3 9" xfId="9082" xr:uid="{24154FEA-7E6B-42B4-B7E7-56CF9187C05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561845AF-2268-4CE9-92B7-9E3BDF985938}"/>
    <cellStyle name="Normal 8 2 2 4 2 2 2 3" xfId="24300" xr:uid="{2F8CE7B8-EAD1-4E0B-9581-D20935C46F7E}"/>
    <cellStyle name="Normal 8 2 2 4 2 2 3" xfId="11642" xr:uid="{4DFA2AB2-9FE1-4A60-858B-F4FA3C9EEF9A}"/>
    <cellStyle name="Normal 8 2 2 4 2 2 4" xfId="20083" xr:uid="{F6394784-C349-4145-93D6-C512509D90D8}"/>
    <cellStyle name="Normal 8 2 2 4 2 3" xfId="5265" xr:uid="{00000000-0005-0000-0000-0000711C0000}"/>
    <cellStyle name="Normal 8 2 2 4 2 3 2" xfId="13715" xr:uid="{2A4F1690-2F50-433C-A397-8CF9C2E8DFDC}"/>
    <cellStyle name="Normal 8 2 2 4 2 3 3" xfId="22155" xr:uid="{2228AB65-B99A-4BC1-B8FA-085476A4C597}"/>
    <cellStyle name="Normal 8 2 2 4 2 4" xfId="9497" xr:uid="{6BA14A3D-79D0-4844-AD87-FDF7A5836FA6}"/>
    <cellStyle name="Normal 8 2 2 4 2 5" xfId="17938" xr:uid="{794DCF45-CA70-4374-A743-5C0EB8183B3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9F8EDAE3-A0C4-462C-8E53-2A970BBC4916}"/>
    <cellStyle name="Normal 8 2 2 4 3 2 2 3" xfId="24713" xr:uid="{0A3AD3A1-48B3-45E6-9F38-2433845A5BCD}"/>
    <cellStyle name="Normal 8 2 2 4 3 2 3" xfId="12055" xr:uid="{B2529C9B-AD19-48A9-9123-920654B3CE5C}"/>
    <cellStyle name="Normal 8 2 2 4 3 2 4" xfId="20496" xr:uid="{9E349215-4C51-444B-8446-63A1EA884182}"/>
    <cellStyle name="Normal 8 2 2 4 3 3" xfId="5678" xr:uid="{00000000-0005-0000-0000-0000751C0000}"/>
    <cellStyle name="Normal 8 2 2 4 3 3 2" xfId="14128" xr:uid="{CA3A7E7E-EDDF-43EB-ADC5-9833DF1CE8E6}"/>
    <cellStyle name="Normal 8 2 2 4 3 3 3" xfId="22568" xr:uid="{2B38CA6F-9538-47B4-B534-16530004155B}"/>
    <cellStyle name="Normal 8 2 2 4 3 4" xfId="9910" xr:uid="{51982238-178E-4D15-AA98-E20CE7CE282F}"/>
    <cellStyle name="Normal 8 2 2 4 3 5" xfId="18351" xr:uid="{1CBA2860-66E2-4A83-A9D7-3A261051F24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D4FB5A8E-6703-4CC7-9058-0460601DE14F}"/>
    <cellStyle name="Normal 8 2 2 4 4 2 2 3" xfId="25126" xr:uid="{5750F567-F995-4070-8989-3DB5C756EA50}"/>
    <cellStyle name="Normal 8 2 2 4 4 2 3" xfId="12468" xr:uid="{B91DAD26-4986-4602-9366-FDE96F9AD551}"/>
    <cellStyle name="Normal 8 2 2 4 4 2 4" xfId="20909" xr:uid="{6EA46CE5-FA63-47BD-957E-7AA5AF2BBCCE}"/>
    <cellStyle name="Normal 8 2 2 4 4 3" xfId="6091" xr:uid="{00000000-0005-0000-0000-0000791C0000}"/>
    <cellStyle name="Normal 8 2 2 4 4 3 2" xfId="14541" xr:uid="{308D1701-3F47-4627-A792-142EFDDCC4F0}"/>
    <cellStyle name="Normal 8 2 2 4 4 3 3" xfId="22981" xr:uid="{D05C46DD-697F-4B61-9760-6EE531941515}"/>
    <cellStyle name="Normal 8 2 2 4 4 4" xfId="10323" xr:uid="{412AD69A-6E69-4CC8-BF87-8EE05FA420A1}"/>
    <cellStyle name="Normal 8 2 2 4 4 5" xfId="18764" xr:uid="{34709D68-4320-4E69-A0EB-A6B74E627639}"/>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B52A9590-D09A-48E3-9497-4AF9E667A635}"/>
    <cellStyle name="Normal 8 2 2 4 5 2 2 3" xfId="25539" xr:uid="{0984AB47-FA51-4E0D-8DA1-00CA7F64214F}"/>
    <cellStyle name="Normal 8 2 2 4 5 2 3" xfId="12881" xr:uid="{700526B3-99B3-497B-9939-A8F2600DC585}"/>
    <cellStyle name="Normal 8 2 2 4 5 2 4" xfId="21322" xr:uid="{1B1CDD19-C43B-41A8-8B64-9B18681933BF}"/>
    <cellStyle name="Normal 8 2 2 4 5 3" xfId="6504" xr:uid="{00000000-0005-0000-0000-00007D1C0000}"/>
    <cellStyle name="Normal 8 2 2 4 5 3 2" xfId="14954" xr:uid="{D557083A-D3E9-47CB-A418-37C3F1FF9F0A}"/>
    <cellStyle name="Normal 8 2 2 4 5 3 3" xfId="23394" xr:uid="{F59BBEE4-0C81-470F-9D33-8D1F7F1CCB19}"/>
    <cellStyle name="Normal 8 2 2 4 5 4" xfId="10736" xr:uid="{DAAF80B5-8BAD-4CE0-BB73-571C81FACD8D}"/>
    <cellStyle name="Normal 8 2 2 4 5 5" xfId="19177" xr:uid="{E6E2683E-7EB5-498E-ACD2-A2DF77F99B2E}"/>
    <cellStyle name="Normal 8 2 2 4 6" xfId="2634" xr:uid="{00000000-0005-0000-0000-00007E1C0000}"/>
    <cellStyle name="Normal 8 2 2 4 6 2" xfId="6917" xr:uid="{00000000-0005-0000-0000-00007F1C0000}"/>
    <cellStyle name="Normal 8 2 2 4 6 2 2" xfId="15367" xr:uid="{DACCA562-1F71-4D6E-A5AA-02DC1EF1C319}"/>
    <cellStyle name="Normal 8 2 2 4 6 2 3" xfId="23807" xr:uid="{6C14006A-D209-47F0-AA69-84B0CC827BA4}"/>
    <cellStyle name="Normal 8 2 2 4 6 3" xfId="11149" xr:uid="{4566E480-C9BA-432A-9681-7DB311687609}"/>
    <cellStyle name="Normal 8 2 2 4 6 4" xfId="19590" xr:uid="{8C54D05B-AE42-42B4-B7FF-018A7365D72E}"/>
    <cellStyle name="Normal 8 2 2 4 7" xfId="4852" xr:uid="{00000000-0005-0000-0000-0000801C0000}"/>
    <cellStyle name="Normal 8 2 2 4 7 2" xfId="13302" xr:uid="{C7820498-6AD4-4F5A-A68C-0D2AA343C3C3}"/>
    <cellStyle name="Normal 8 2 2 4 7 3" xfId="21742" xr:uid="{0484A43F-1579-4B90-9B47-D7569FD20B8B}"/>
    <cellStyle name="Normal 8 2 2 4 8" xfId="9084" xr:uid="{11EE254A-80A6-4CF5-AE34-BE4EF2C22EFE}"/>
    <cellStyle name="Normal 8 2 2 4 9" xfId="17525" xr:uid="{4DDE233F-68BA-4F34-BEF1-835ED7EECB1B}"/>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176F36BA-AE67-42CB-9DB1-51304248821D}"/>
    <cellStyle name="Normal 8 2 2 5 2 2 3" xfId="24293" xr:uid="{E38490C5-2DAE-4FD2-B3B6-AB3036878B41}"/>
    <cellStyle name="Normal 8 2 2 5 2 3" xfId="11635" xr:uid="{D67870C5-2569-40E5-9B46-6C184193DEB2}"/>
    <cellStyle name="Normal 8 2 2 5 2 4" xfId="20076" xr:uid="{77E187A7-17DB-4E0E-B412-6C7A9252D034}"/>
    <cellStyle name="Normal 8 2 2 5 3" xfId="5258" xr:uid="{00000000-0005-0000-0000-0000841C0000}"/>
    <cellStyle name="Normal 8 2 2 5 3 2" xfId="13708" xr:uid="{AC0EFC6C-F33B-4C07-B0F1-7E34A9B96EAC}"/>
    <cellStyle name="Normal 8 2 2 5 3 3" xfId="22148" xr:uid="{4509CD4F-42AA-4031-9AC0-E1F536084C01}"/>
    <cellStyle name="Normal 8 2 2 5 4" xfId="9490" xr:uid="{D5B1775C-C4D4-490C-8014-069897261121}"/>
    <cellStyle name="Normal 8 2 2 5 5" xfId="17931" xr:uid="{0A5B95E8-AA55-4194-B127-FB9B3EAB9259}"/>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4EFD4D9D-4C1B-4647-9640-FAAEA258653C}"/>
    <cellStyle name="Normal 8 2 2 6 2 2 3" xfId="24706" xr:uid="{5724B73C-9E51-41A0-95B8-AF7FF925BADA}"/>
    <cellStyle name="Normal 8 2 2 6 2 3" xfId="12048" xr:uid="{74ED39C0-B932-43DC-8E0F-099411E4B7C2}"/>
    <cellStyle name="Normal 8 2 2 6 2 4" xfId="20489" xr:uid="{A3A9143C-CA59-43E7-91A7-4793C783FD5E}"/>
    <cellStyle name="Normal 8 2 2 6 3" xfId="5671" xr:uid="{00000000-0005-0000-0000-0000881C0000}"/>
    <cellStyle name="Normal 8 2 2 6 3 2" xfId="14121" xr:uid="{B66B33C7-FD74-4259-BB88-59D5E1AB13B8}"/>
    <cellStyle name="Normal 8 2 2 6 3 3" xfId="22561" xr:uid="{5A96B3ED-FF97-4A58-8D17-5052061083E8}"/>
    <cellStyle name="Normal 8 2 2 6 4" xfId="9903" xr:uid="{3C43B1DB-4979-4D80-AA26-DE0186F78221}"/>
    <cellStyle name="Normal 8 2 2 6 5" xfId="18344" xr:uid="{0B1B446D-7124-4865-A93D-861974D53EC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11B84D8E-C8B1-42D6-AEBB-40A3B7A58FBA}"/>
    <cellStyle name="Normal 8 2 2 7 2 2 3" xfId="25119" xr:uid="{66E64284-FE46-4D80-B538-9DD8BD3E68E4}"/>
    <cellStyle name="Normal 8 2 2 7 2 3" xfId="12461" xr:uid="{5E403216-87EF-4033-86E8-4A069271D239}"/>
    <cellStyle name="Normal 8 2 2 7 2 4" xfId="20902" xr:uid="{C3AA47AB-8DB8-4E37-A34A-F2BD7E2DC9B6}"/>
    <cellStyle name="Normal 8 2 2 7 3" xfId="6084" xr:uid="{00000000-0005-0000-0000-00008C1C0000}"/>
    <cellStyle name="Normal 8 2 2 7 3 2" xfId="14534" xr:uid="{D734B88A-9607-4A54-AB2E-108793951B3C}"/>
    <cellStyle name="Normal 8 2 2 7 3 3" xfId="22974" xr:uid="{D0EACD33-9DA0-42C6-A895-E1B5F3B4F9A7}"/>
    <cellStyle name="Normal 8 2 2 7 4" xfId="10316" xr:uid="{CB201826-AA26-4F2B-9E47-7964C73CE341}"/>
    <cellStyle name="Normal 8 2 2 7 5" xfId="18757" xr:uid="{945EC9C1-477F-4920-8AA2-91E257283FE6}"/>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0BAE61EE-0BCC-407C-AA27-C65A224173FE}"/>
    <cellStyle name="Normal 8 2 2 8 2 2 3" xfId="25532" xr:uid="{0EA8470B-D721-4DE0-9D92-18DAEBE24ACD}"/>
    <cellStyle name="Normal 8 2 2 8 2 3" xfId="12874" xr:uid="{1D77C953-649F-45ED-AAAC-2A7EB4CB985F}"/>
    <cellStyle name="Normal 8 2 2 8 2 4" xfId="21315" xr:uid="{83EE95A0-DE9D-4C2A-BE1A-6D2FD8F96BA0}"/>
    <cellStyle name="Normal 8 2 2 8 3" xfId="6497" xr:uid="{00000000-0005-0000-0000-0000901C0000}"/>
    <cellStyle name="Normal 8 2 2 8 3 2" xfId="14947" xr:uid="{5E8313BD-6F07-40A9-9EFB-D456531A74FC}"/>
    <cellStyle name="Normal 8 2 2 8 3 3" xfId="23387" xr:uid="{F3B6E084-1D3A-471F-B4CA-D9DBCBD50026}"/>
    <cellStyle name="Normal 8 2 2 8 4" xfId="10729" xr:uid="{27036D11-0D4B-403D-BA1A-4B09B9C553BB}"/>
    <cellStyle name="Normal 8 2 2 8 5" xfId="19170" xr:uid="{BCA34D2B-77A4-4F69-803C-6778DB36D3A6}"/>
    <cellStyle name="Normal 8 2 2 9" xfId="2627" xr:uid="{00000000-0005-0000-0000-0000911C0000}"/>
    <cellStyle name="Normal 8 2 2 9 2" xfId="6910" xr:uid="{00000000-0005-0000-0000-0000921C0000}"/>
    <cellStyle name="Normal 8 2 2 9 2 2" xfId="15360" xr:uid="{B9292A94-64F8-479B-A19A-D5B93059DCAF}"/>
    <cellStyle name="Normal 8 2 2 9 2 3" xfId="23800" xr:uid="{64D364F8-920A-4C88-9751-5C2FA12E3DED}"/>
    <cellStyle name="Normal 8 2 2 9 3" xfId="11142" xr:uid="{EE3E2417-E9CA-4F39-BB41-2D2622FEB837}"/>
    <cellStyle name="Normal 8 2 2 9 4" xfId="19583" xr:uid="{ED42ACBD-5AB3-46BB-839B-DB32E67BF43A}"/>
    <cellStyle name="Normal 8 2 3" xfId="488" xr:uid="{00000000-0005-0000-0000-0000931C0000}"/>
    <cellStyle name="Normal 8 2 3 10" xfId="9085" xr:uid="{6BFBDDC8-5FA5-4EB5-B1D8-37C86F305FE4}"/>
    <cellStyle name="Normal 8 2 3 11" xfId="17526" xr:uid="{3348AE47-6169-4C85-9A6F-8D9799C4E76F}"/>
    <cellStyle name="Normal 8 2 3 2" xfId="489" xr:uid="{00000000-0005-0000-0000-0000941C0000}"/>
    <cellStyle name="Normal 8 2 3 2 10" xfId="17527" xr:uid="{4C441774-739C-4B11-B22C-7AAE05271924}"/>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B12FA42B-A778-4CEE-BD9A-289EE0450337}"/>
    <cellStyle name="Normal 8 2 3 2 2 2 2 2 3" xfId="24303" xr:uid="{569DC9A5-70BB-400B-A5E7-190FAD9BA394}"/>
    <cellStyle name="Normal 8 2 3 2 2 2 2 3" xfId="11645" xr:uid="{680DA4DB-663B-4E12-BABF-3C9FEBEED54E}"/>
    <cellStyle name="Normal 8 2 3 2 2 2 2 4" xfId="20086" xr:uid="{248DD9D3-E771-4335-A772-A570D49E485A}"/>
    <cellStyle name="Normal 8 2 3 2 2 2 3" xfId="5268" xr:uid="{00000000-0005-0000-0000-0000991C0000}"/>
    <cellStyle name="Normal 8 2 3 2 2 2 3 2" xfId="13718" xr:uid="{21CA553C-5731-4C5B-8C4C-CC27F8DA772A}"/>
    <cellStyle name="Normal 8 2 3 2 2 2 3 3" xfId="22158" xr:uid="{11D8B93F-FC90-417B-99B9-539792CA7F13}"/>
    <cellStyle name="Normal 8 2 3 2 2 2 4" xfId="9500" xr:uid="{2A2C35BE-4677-49E1-96FA-169205D3195A}"/>
    <cellStyle name="Normal 8 2 3 2 2 2 5" xfId="17941" xr:uid="{938245CE-98E5-4956-9C6D-EB0682EF772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640023E7-66B0-4454-8BDE-C98C95714A27}"/>
    <cellStyle name="Normal 8 2 3 2 2 3 2 2 3" xfId="24716" xr:uid="{9AF9FFE1-39AE-497F-93EA-5F0203C1948B}"/>
    <cellStyle name="Normal 8 2 3 2 2 3 2 3" xfId="12058" xr:uid="{F743996E-DD6C-4A96-A415-985245E03957}"/>
    <cellStyle name="Normal 8 2 3 2 2 3 2 4" xfId="20499" xr:uid="{EA729A3D-5A02-402B-BA72-A14B50E83C2F}"/>
    <cellStyle name="Normal 8 2 3 2 2 3 3" xfId="5681" xr:uid="{00000000-0005-0000-0000-00009D1C0000}"/>
    <cellStyle name="Normal 8 2 3 2 2 3 3 2" xfId="14131" xr:uid="{18EF3418-D7EC-4638-9B51-C9BD60FBA69F}"/>
    <cellStyle name="Normal 8 2 3 2 2 3 3 3" xfId="22571" xr:uid="{8B3B5E88-3ACD-4DE2-87FB-6B592E6ADB4A}"/>
    <cellStyle name="Normal 8 2 3 2 2 3 4" xfId="9913" xr:uid="{BFA6BC48-8140-4A6D-A4C1-676F2AE74EC6}"/>
    <cellStyle name="Normal 8 2 3 2 2 3 5" xfId="18354" xr:uid="{5A9A9E8A-DF7D-4383-9282-2285C2AD145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260EEA90-B5B7-4ED6-80A6-AF3453671219}"/>
    <cellStyle name="Normal 8 2 3 2 2 4 2 2 3" xfId="25129" xr:uid="{27001BA7-449C-49CE-AD2B-CB62877520BA}"/>
    <cellStyle name="Normal 8 2 3 2 2 4 2 3" xfId="12471" xr:uid="{A9A34E1B-490F-4423-AF27-106754E3FC67}"/>
    <cellStyle name="Normal 8 2 3 2 2 4 2 4" xfId="20912" xr:uid="{A3F2A7CE-2F5C-4BE9-B031-2355771D96FF}"/>
    <cellStyle name="Normal 8 2 3 2 2 4 3" xfId="6094" xr:uid="{00000000-0005-0000-0000-0000A11C0000}"/>
    <cellStyle name="Normal 8 2 3 2 2 4 3 2" xfId="14544" xr:uid="{B36A7FCC-E2C0-496F-B102-26428237A0C9}"/>
    <cellStyle name="Normal 8 2 3 2 2 4 3 3" xfId="22984" xr:uid="{D8737EE0-B3FE-49A2-9933-05DC5AC359A2}"/>
    <cellStyle name="Normal 8 2 3 2 2 4 4" xfId="10326" xr:uid="{4A20A2E6-3862-4E22-8D6D-4175B5C75661}"/>
    <cellStyle name="Normal 8 2 3 2 2 4 5" xfId="18767" xr:uid="{18741BFA-8083-4BCF-834E-D0FD38409F52}"/>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71876F92-4678-4CE5-889D-37A2E43A90EE}"/>
    <cellStyle name="Normal 8 2 3 2 2 5 2 2 3" xfId="25542" xr:uid="{F92D0B34-C666-4BA6-872E-2DC61CBAE6ED}"/>
    <cellStyle name="Normal 8 2 3 2 2 5 2 3" xfId="12884" xr:uid="{8A27637B-BE02-4656-89A6-F02807E791AF}"/>
    <cellStyle name="Normal 8 2 3 2 2 5 2 4" xfId="21325" xr:uid="{65E847FB-F411-471C-9A4E-70D77447C5ED}"/>
    <cellStyle name="Normal 8 2 3 2 2 5 3" xfId="6507" xr:uid="{00000000-0005-0000-0000-0000A51C0000}"/>
    <cellStyle name="Normal 8 2 3 2 2 5 3 2" xfId="14957" xr:uid="{5659882C-EB4C-474B-81AA-1CD19CF05370}"/>
    <cellStyle name="Normal 8 2 3 2 2 5 3 3" xfId="23397" xr:uid="{539F7B53-6468-4452-AD82-CC8D7A152420}"/>
    <cellStyle name="Normal 8 2 3 2 2 5 4" xfId="10739" xr:uid="{4FA1C4E6-1A59-49BD-BC5A-495B53EB1B03}"/>
    <cellStyle name="Normal 8 2 3 2 2 5 5" xfId="19180" xr:uid="{23123604-4B44-4049-8A8C-C347FF624317}"/>
    <cellStyle name="Normal 8 2 3 2 2 6" xfId="2637" xr:uid="{00000000-0005-0000-0000-0000A61C0000}"/>
    <cellStyle name="Normal 8 2 3 2 2 6 2" xfId="6920" xr:uid="{00000000-0005-0000-0000-0000A71C0000}"/>
    <cellStyle name="Normal 8 2 3 2 2 6 2 2" xfId="15370" xr:uid="{4AF59683-E316-4D97-9EBF-59399D806E27}"/>
    <cellStyle name="Normal 8 2 3 2 2 6 2 3" xfId="23810" xr:uid="{68C73897-0E43-4119-992A-08C2FD7393C7}"/>
    <cellStyle name="Normal 8 2 3 2 2 6 3" xfId="11152" xr:uid="{46EC8D1E-A743-488E-9E30-63B2F689B037}"/>
    <cellStyle name="Normal 8 2 3 2 2 6 4" xfId="19593" xr:uid="{8D08F7DE-0352-4D2F-B47A-1F6B31509DCE}"/>
    <cellStyle name="Normal 8 2 3 2 2 7" xfId="4855" xr:uid="{00000000-0005-0000-0000-0000A81C0000}"/>
    <cellStyle name="Normal 8 2 3 2 2 7 2" xfId="13305" xr:uid="{FE5DE06F-049B-4A98-8A69-DBC07E49B5BD}"/>
    <cellStyle name="Normal 8 2 3 2 2 7 3" xfId="21745" xr:uid="{5A10F9BD-546C-465F-9AE8-2946073A82CF}"/>
    <cellStyle name="Normal 8 2 3 2 2 8" xfId="9087" xr:uid="{D97E3A4B-65C6-4498-9DE7-26C5F4197FA1}"/>
    <cellStyle name="Normal 8 2 3 2 2 9" xfId="17528" xr:uid="{D2532F35-8AEE-4E36-ACA6-2896512EDE20}"/>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8DDF7E6-F7AB-4E16-A636-8B786134FE9D}"/>
    <cellStyle name="Normal 8 2 3 2 3 2 2 3" xfId="24302" xr:uid="{E71DABED-FAFB-484C-B30B-5D087E03019A}"/>
    <cellStyle name="Normal 8 2 3 2 3 2 3" xfId="11644" xr:uid="{66ED3645-80CC-46A3-8F6B-BC657FFBC53C}"/>
    <cellStyle name="Normal 8 2 3 2 3 2 4" xfId="20085" xr:uid="{0D710386-2157-4EDA-A10B-7122203ED66A}"/>
    <cellStyle name="Normal 8 2 3 2 3 3" xfId="5267" xr:uid="{00000000-0005-0000-0000-0000AC1C0000}"/>
    <cellStyle name="Normal 8 2 3 2 3 3 2" xfId="13717" xr:uid="{6A2ADA04-56FC-42D0-B923-BD313E32AB30}"/>
    <cellStyle name="Normal 8 2 3 2 3 3 3" xfId="22157" xr:uid="{883F4179-1D3A-4966-8921-65128568D632}"/>
    <cellStyle name="Normal 8 2 3 2 3 4" xfId="9499" xr:uid="{7299F84E-71B2-4E4E-B9D9-3F749D3F36A7}"/>
    <cellStyle name="Normal 8 2 3 2 3 5" xfId="17940" xr:uid="{A36B126A-28CA-4DAE-9E3D-659B6C870AC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2E770332-C93D-4098-9B60-D9CE44C249DA}"/>
    <cellStyle name="Normal 8 2 3 2 4 2 2 3" xfId="24715" xr:uid="{B613B9F4-1491-4F16-B041-1B6FDA14037B}"/>
    <cellStyle name="Normal 8 2 3 2 4 2 3" xfId="12057" xr:uid="{FAB11B72-DBE2-4B03-89C1-473984F482AE}"/>
    <cellStyle name="Normal 8 2 3 2 4 2 4" xfId="20498" xr:uid="{972E220C-4195-4FE4-A605-3D3476A95C94}"/>
    <cellStyle name="Normal 8 2 3 2 4 3" xfId="5680" xr:uid="{00000000-0005-0000-0000-0000B01C0000}"/>
    <cellStyle name="Normal 8 2 3 2 4 3 2" xfId="14130" xr:uid="{35569F24-9A75-4B5A-9BB2-E9E8C23757D3}"/>
    <cellStyle name="Normal 8 2 3 2 4 3 3" xfId="22570" xr:uid="{4EEC044E-E71F-47CD-89D4-5FDA1DD59D1D}"/>
    <cellStyle name="Normal 8 2 3 2 4 4" xfId="9912" xr:uid="{11A602FC-BB53-490F-A1A1-593B59255825}"/>
    <cellStyle name="Normal 8 2 3 2 4 5" xfId="18353" xr:uid="{687EBCF8-0C7A-461E-A490-9BDBDCF24C7E}"/>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3526F0AF-C215-4B17-A6A2-4693561FF1A8}"/>
    <cellStyle name="Normal 8 2 3 2 5 2 2 3" xfId="25128" xr:uid="{4A0BD3C0-DE91-40A4-8D97-B62C6BF65E94}"/>
    <cellStyle name="Normal 8 2 3 2 5 2 3" xfId="12470" xr:uid="{75D3B6A1-10C6-4A5F-99E7-938CB922FF5A}"/>
    <cellStyle name="Normal 8 2 3 2 5 2 4" xfId="20911" xr:uid="{5F5DC654-A8CF-46F7-9A65-50CC6DC3AF99}"/>
    <cellStyle name="Normal 8 2 3 2 5 3" xfId="6093" xr:uid="{00000000-0005-0000-0000-0000B41C0000}"/>
    <cellStyle name="Normal 8 2 3 2 5 3 2" xfId="14543" xr:uid="{C98A85B6-3FE6-4E3E-BD7E-68D98FB63C29}"/>
    <cellStyle name="Normal 8 2 3 2 5 3 3" xfId="22983" xr:uid="{647DDE02-2D4F-4641-8835-1EFA41E0B44C}"/>
    <cellStyle name="Normal 8 2 3 2 5 4" xfId="10325" xr:uid="{DD013EF2-37D8-4205-9DFF-AB28ED607080}"/>
    <cellStyle name="Normal 8 2 3 2 5 5" xfId="18766" xr:uid="{0C7E76CB-B03E-42C9-A63D-F8B43BA73617}"/>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B9200A6E-4C95-432F-BCEE-E24E6233FFB6}"/>
    <cellStyle name="Normal 8 2 3 2 6 2 2 3" xfId="25541" xr:uid="{6EC10DE5-0448-494D-ABA4-5A47B97E14A7}"/>
    <cellStyle name="Normal 8 2 3 2 6 2 3" xfId="12883" xr:uid="{03AD4970-7F5C-4565-87C7-F12C031D65DA}"/>
    <cellStyle name="Normal 8 2 3 2 6 2 4" xfId="21324" xr:uid="{D5FB7292-D2BB-4EC1-BEBB-ACDCBE70431B}"/>
    <cellStyle name="Normal 8 2 3 2 6 3" xfId="6506" xr:uid="{00000000-0005-0000-0000-0000B81C0000}"/>
    <cellStyle name="Normal 8 2 3 2 6 3 2" xfId="14956" xr:uid="{B760133B-52A9-44E0-8CD2-CE41F408F0FF}"/>
    <cellStyle name="Normal 8 2 3 2 6 3 3" xfId="23396" xr:uid="{B5BA62A6-F633-4E1D-954E-6AE1A8606B99}"/>
    <cellStyle name="Normal 8 2 3 2 6 4" xfId="10738" xr:uid="{A44BC5A9-4A8B-4881-AA64-226CA7D07E70}"/>
    <cellStyle name="Normal 8 2 3 2 6 5" xfId="19179" xr:uid="{390ABEDA-0641-4BB1-B944-69E537749CB9}"/>
    <cellStyle name="Normal 8 2 3 2 7" xfId="2636" xr:uid="{00000000-0005-0000-0000-0000B91C0000}"/>
    <cellStyle name="Normal 8 2 3 2 7 2" xfId="6919" xr:uid="{00000000-0005-0000-0000-0000BA1C0000}"/>
    <cellStyle name="Normal 8 2 3 2 7 2 2" xfId="15369" xr:uid="{8B338704-1EE6-443F-8EAC-A520EE8120E5}"/>
    <cellStyle name="Normal 8 2 3 2 7 2 3" xfId="23809" xr:uid="{C47BA751-AB30-4F0D-B1FD-E0502A9D14B0}"/>
    <cellStyle name="Normal 8 2 3 2 7 3" xfId="11151" xr:uid="{906AE3CE-7FAD-4B7E-9AC7-671958CC88A7}"/>
    <cellStyle name="Normal 8 2 3 2 7 4" xfId="19592" xr:uid="{0ED359C1-F1D9-465B-B362-7DA1D6F064BC}"/>
    <cellStyle name="Normal 8 2 3 2 8" xfId="4854" xr:uid="{00000000-0005-0000-0000-0000BB1C0000}"/>
    <cellStyle name="Normal 8 2 3 2 8 2" xfId="13304" xr:uid="{B841E19B-3490-476E-833B-F4EE6BBA299D}"/>
    <cellStyle name="Normal 8 2 3 2 8 3" xfId="21744" xr:uid="{5A09CA66-61A3-4DDE-8F1C-A3A462F4A136}"/>
    <cellStyle name="Normal 8 2 3 2 9" xfId="9086" xr:uid="{47D2B1C4-7882-4964-A10D-E6D0CB70AF31}"/>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CB5A04FC-75C3-4787-92B6-EB071AB85BB5}"/>
    <cellStyle name="Normal 8 2 3 3 2 2 2 3" xfId="24304" xr:uid="{8FC52986-8B7A-467C-9D64-683F8BDC4238}"/>
    <cellStyle name="Normal 8 2 3 3 2 2 3" xfId="11646" xr:uid="{0F4EE506-E9AC-48C8-85C6-7D42743C23AB}"/>
    <cellStyle name="Normal 8 2 3 3 2 2 4" xfId="20087" xr:uid="{96E154CE-BE6F-4DEA-98DC-2DEE406E093E}"/>
    <cellStyle name="Normal 8 2 3 3 2 3" xfId="5269" xr:uid="{00000000-0005-0000-0000-0000C01C0000}"/>
    <cellStyle name="Normal 8 2 3 3 2 3 2" xfId="13719" xr:uid="{CD363288-70AA-4235-A651-FA2B6CFA9D0C}"/>
    <cellStyle name="Normal 8 2 3 3 2 3 3" xfId="22159" xr:uid="{08F03860-669C-4314-9640-715601C0F1AB}"/>
    <cellStyle name="Normal 8 2 3 3 2 4" xfId="9501" xr:uid="{650C9BDF-EDDA-42FC-A25E-20930E2844A8}"/>
    <cellStyle name="Normal 8 2 3 3 2 5" xfId="17942" xr:uid="{82589B81-BB77-4755-8A26-58143117A15E}"/>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8D28E7B0-BF69-4FD9-8F9E-93840C7A0078}"/>
    <cellStyle name="Normal 8 2 3 3 3 2 2 3" xfId="24717" xr:uid="{1BC17A93-C671-41E6-8586-94E0C8C95346}"/>
    <cellStyle name="Normal 8 2 3 3 3 2 3" xfId="12059" xr:uid="{04A85B6A-DA62-4504-A0DD-5D7BEBEBE58C}"/>
    <cellStyle name="Normal 8 2 3 3 3 2 4" xfId="20500" xr:uid="{1B747E37-D9C8-4697-888F-A4A3525DAC14}"/>
    <cellStyle name="Normal 8 2 3 3 3 3" xfId="5682" xr:uid="{00000000-0005-0000-0000-0000C41C0000}"/>
    <cellStyle name="Normal 8 2 3 3 3 3 2" xfId="14132" xr:uid="{0A84EA36-0AD7-4ED3-8BC1-27B4CFD9D76E}"/>
    <cellStyle name="Normal 8 2 3 3 3 3 3" xfId="22572" xr:uid="{1C05A2C3-7AFC-4658-9E08-4CADBE0C9DEC}"/>
    <cellStyle name="Normal 8 2 3 3 3 4" xfId="9914" xr:uid="{2C2CEF3B-A1E0-467B-AA0C-0BE3A7965751}"/>
    <cellStyle name="Normal 8 2 3 3 3 5" xfId="18355" xr:uid="{7B51E8C0-9F39-40E9-B7FF-4AA8DCA0990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D3BB5875-0B2E-402C-BC48-EBDA1106A6AF}"/>
    <cellStyle name="Normal 8 2 3 3 4 2 2 3" xfId="25130" xr:uid="{F5EE5205-63E4-4F09-9F48-DB20374D3F5C}"/>
    <cellStyle name="Normal 8 2 3 3 4 2 3" xfId="12472" xr:uid="{9A8DBBF8-6F76-4980-A3E5-ADBD74ED2A44}"/>
    <cellStyle name="Normal 8 2 3 3 4 2 4" xfId="20913" xr:uid="{C6C4595D-8280-4855-AC18-4BA9AA7A62B8}"/>
    <cellStyle name="Normal 8 2 3 3 4 3" xfId="6095" xr:uid="{00000000-0005-0000-0000-0000C81C0000}"/>
    <cellStyle name="Normal 8 2 3 3 4 3 2" xfId="14545" xr:uid="{651534E6-87FB-4225-A0FC-CE0DE6420528}"/>
    <cellStyle name="Normal 8 2 3 3 4 3 3" xfId="22985" xr:uid="{098C87E8-9917-4DCA-A1DE-5B5645354692}"/>
    <cellStyle name="Normal 8 2 3 3 4 4" xfId="10327" xr:uid="{46E1192B-A68A-4B62-96CB-651750E7F3CD}"/>
    <cellStyle name="Normal 8 2 3 3 4 5" xfId="18768" xr:uid="{792FB51B-A0AA-4218-80BC-BA01851D75E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2E3DFD16-C519-4D6B-BAD8-FCFA4964145B}"/>
    <cellStyle name="Normal 8 2 3 3 5 2 2 3" xfId="25543" xr:uid="{3677C594-8DD4-4363-BF9E-D8729BDA7EFC}"/>
    <cellStyle name="Normal 8 2 3 3 5 2 3" xfId="12885" xr:uid="{A4B33290-D67D-43A9-8349-F5383C51B271}"/>
    <cellStyle name="Normal 8 2 3 3 5 2 4" xfId="21326" xr:uid="{ED1F2CCA-E77A-4F58-B10B-6D118ECCA00B}"/>
    <cellStyle name="Normal 8 2 3 3 5 3" xfId="6508" xr:uid="{00000000-0005-0000-0000-0000CC1C0000}"/>
    <cellStyle name="Normal 8 2 3 3 5 3 2" xfId="14958" xr:uid="{514107F5-A1F2-43F4-9898-184701E1334A}"/>
    <cellStyle name="Normal 8 2 3 3 5 3 3" xfId="23398" xr:uid="{C2911BF3-740C-420B-9206-2E8D051F332F}"/>
    <cellStyle name="Normal 8 2 3 3 5 4" xfId="10740" xr:uid="{04A4E157-73F7-4256-89DE-568B77C4B0C6}"/>
    <cellStyle name="Normal 8 2 3 3 5 5" xfId="19181" xr:uid="{72727158-BF35-48FA-B61A-30E436CFC594}"/>
    <cellStyle name="Normal 8 2 3 3 6" xfId="2638" xr:uid="{00000000-0005-0000-0000-0000CD1C0000}"/>
    <cellStyle name="Normal 8 2 3 3 6 2" xfId="6921" xr:uid="{00000000-0005-0000-0000-0000CE1C0000}"/>
    <cellStyle name="Normal 8 2 3 3 6 2 2" xfId="15371" xr:uid="{C7F5AFA9-8FCB-4A23-9937-6A0C6DDC1D3D}"/>
    <cellStyle name="Normal 8 2 3 3 6 2 3" xfId="23811" xr:uid="{F9E909E4-C4AB-4C25-B724-AB33E97383C0}"/>
    <cellStyle name="Normal 8 2 3 3 6 3" xfId="11153" xr:uid="{086C087E-5E61-4BFA-99AD-DC3CBBEEF511}"/>
    <cellStyle name="Normal 8 2 3 3 6 4" xfId="19594" xr:uid="{292BE4C8-FA8B-409E-BBDE-9E6482A5D9B0}"/>
    <cellStyle name="Normal 8 2 3 3 7" xfId="4856" xr:uid="{00000000-0005-0000-0000-0000CF1C0000}"/>
    <cellStyle name="Normal 8 2 3 3 7 2" xfId="13306" xr:uid="{941A3212-BDBB-46EE-8689-FAE93AED85E4}"/>
    <cellStyle name="Normal 8 2 3 3 7 3" xfId="21746" xr:uid="{761CE477-1CE4-4811-BBC9-2B8F33D173DA}"/>
    <cellStyle name="Normal 8 2 3 3 8" xfId="9088" xr:uid="{24183285-FFB3-4524-9BD7-8C15AC7EDC0F}"/>
    <cellStyle name="Normal 8 2 3 3 9" xfId="17529" xr:uid="{F1112377-DF44-4C49-97C3-EC43C604F417}"/>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E027C03E-113F-4233-BDF5-333106D94305}"/>
    <cellStyle name="Normal 8 2 3 4 2 2 3" xfId="24301" xr:uid="{4FCA6486-1102-4DB7-B521-55F33FA6D78C}"/>
    <cellStyle name="Normal 8 2 3 4 2 3" xfId="11643" xr:uid="{9CDA7391-E630-44A0-8266-2D3F4A1692DE}"/>
    <cellStyle name="Normal 8 2 3 4 2 4" xfId="20084" xr:uid="{A0B27DBB-4466-42CD-88B9-BB05C2DAA9EF}"/>
    <cellStyle name="Normal 8 2 3 4 3" xfId="5266" xr:uid="{00000000-0005-0000-0000-0000D31C0000}"/>
    <cellStyle name="Normal 8 2 3 4 3 2" xfId="13716" xr:uid="{A9EA7057-01EE-436A-9B64-CB1D16AC429E}"/>
    <cellStyle name="Normal 8 2 3 4 3 3" xfId="22156" xr:uid="{B6B0A35C-8FE9-451B-8865-7827D7A51D9D}"/>
    <cellStyle name="Normal 8 2 3 4 4" xfId="9498" xr:uid="{8997C0BD-AF35-4946-A3BF-81DCC74CE213}"/>
    <cellStyle name="Normal 8 2 3 4 5" xfId="17939" xr:uid="{926852AB-00DD-4A1E-A0C4-690C697EA7F9}"/>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DF76AB24-A28F-4CFD-8D44-E06B804B4C75}"/>
    <cellStyle name="Normal 8 2 3 5 2 2 3" xfId="24714" xr:uid="{CBC06954-5520-41D8-A06E-E84F5B0F384A}"/>
    <cellStyle name="Normal 8 2 3 5 2 3" xfId="12056" xr:uid="{E479A8FF-1B26-498E-9D29-8890E69E8293}"/>
    <cellStyle name="Normal 8 2 3 5 2 4" xfId="20497" xr:uid="{6F9B9DCB-2A7D-45E8-AADF-AC36C0688C3E}"/>
    <cellStyle name="Normal 8 2 3 5 3" xfId="5679" xr:uid="{00000000-0005-0000-0000-0000D71C0000}"/>
    <cellStyle name="Normal 8 2 3 5 3 2" xfId="14129" xr:uid="{BB4CF2FE-B2CF-4463-88CA-99124E6241FF}"/>
    <cellStyle name="Normal 8 2 3 5 3 3" xfId="22569" xr:uid="{796EB455-ACB6-49D9-9500-01055F4A9645}"/>
    <cellStyle name="Normal 8 2 3 5 4" xfId="9911" xr:uid="{CADDB93A-4032-435C-AE08-E9C4406FA872}"/>
    <cellStyle name="Normal 8 2 3 5 5" xfId="18352" xr:uid="{8C8DB4A0-6E86-480D-A56D-8D648ADF803B}"/>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6CF73E47-1A84-4846-89CF-AFB6AFC55AA1}"/>
    <cellStyle name="Normal 8 2 3 6 2 2 3" xfId="25127" xr:uid="{5116EA60-F7E2-47E5-80BD-742BFD95B78C}"/>
    <cellStyle name="Normal 8 2 3 6 2 3" xfId="12469" xr:uid="{A1BAD2D6-62E7-4F33-B90C-16EB3AA29793}"/>
    <cellStyle name="Normal 8 2 3 6 2 4" xfId="20910" xr:uid="{34B3A3EB-8D5C-428A-B434-813A151BA8C1}"/>
    <cellStyle name="Normal 8 2 3 6 3" xfId="6092" xr:uid="{00000000-0005-0000-0000-0000DB1C0000}"/>
    <cellStyle name="Normal 8 2 3 6 3 2" xfId="14542" xr:uid="{F855696F-B0C3-450C-AC16-F0D91205EF74}"/>
    <cellStyle name="Normal 8 2 3 6 3 3" xfId="22982" xr:uid="{4601996F-8C7D-4CAB-84AE-34D9FDCAD534}"/>
    <cellStyle name="Normal 8 2 3 6 4" xfId="10324" xr:uid="{A055AEC4-15FC-4CFD-9855-869402C4D42C}"/>
    <cellStyle name="Normal 8 2 3 6 5" xfId="18765" xr:uid="{FFF1FDA7-E04F-4B79-975E-EA427615615C}"/>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5791A3E5-4509-4E06-9B58-9CF0085173DB}"/>
    <cellStyle name="Normal 8 2 3 7 2 2 3" xfId="25540" xr:uid="{A89C2958-60F3-4FA4-B0B7-5358F03DE065}"/>
    <cellStyle name="Normal 8 2 3 7 2 3" xfId="12882" xr:uid="{4D441EA4-684F-4085-9D2B-CA9F7F034A74}"/>
    <cellStyle name="Normal 8 2 3 7 2 4" xfId="21323" xr:uid="{9CF061DE-C9D4-49F1-A5D5-617BE71EA006}"/>
    <cellStyle name="Normal 8 2 3 7 3" xfId="6505" xr:uid="{00000000-0005-0000-0000-0000DF1C0000}"/>
    <cellStyle name="Normal 8 2 3 7 3 2" xfId="14955" xr:uid="{B6866CCD-BBE2-47E0-861A-701B82DDF9F5}"/>
    <cellStyle name="Normal 8 2 3 7 3 3" xfId="23395" xr:uid="{25EDFE65-A808-4357-855C-C6403EFBB100}"/>
    <cellStyle name="Normal 8 2 3 7 4" xfId="10737" xr:uid="{2C373727-CA94-4C78-8902-6F60F66BF89A}"/>
    <cellStyle name="Normal 8 2 3 7 5" xfId="19178" xr:uid="{B6E6020E-B865-4EB0-9B63-F6E89A2D28DE}"/>
    <cellStyle name="Normal 8 2 3 8" xfId="2635" xr:uid="{00000000-0005-0000-0000-0000E01C0000}"/>
    <cellStyle name="Normal 8 2 3 8 2" xfId="6918" xr:uid="{00000000-0005-0000-0000-0000E11C0000}"/>
    <cellStyle name="Normal 8 2 3 8 2 2" xfId="15368" xr:uid="{6DA27C92-53B2-4645-B872-1806642197EA}"/>
    <cellStyle name="Normal 8 2 3 8 2 3" xfId="23808" xr:uid="{788150CF-A643-4DDF-A8FC-92F25999C0F0}"/>
    <cellStyle name="Normal 8 2 3 8 3" xfId="11150" xr:uid="{8B50D836-F612-4671-BCFE-6CABC388E712}"/>
    <cellStyle name="Normal 8 2 3 8 4" xfId="19591" xr:uid="{BEBB0DBF-9C3F-4F9D-9688-722019C106BE}"/>
    <cellStyle name="Normal 8 2 3 9" xfId="4853" xr:uid="{00000000-0005-0000-0000-0000E21C0000}"/>
    <cellStyle name="Normal 8 2 3 9 2" xfId="13303" xr:uid="{DE234E62-0CAC-468D-BEAA-4255891CE1E4}"/>
    <cellStyle name="Normal 8 2 3 9 3" xfId="21743" xr:uid="{23765B06-5F4E-47B2-8F58-9E39570C59C2}"/>
    <cellStyle name="Normal 8 2 4" xfId="492" xr:uid="{00000000-0005-0000-0000-0000E31C0000}"/>
    <cellStyle name="Normal 8 2 4 10" xfId="17530" xr:uid="{7C478558-17B4-464C-94BF-005063FA3443}"/>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946AA854-A1D7-4DEA-8C17-B7A8E1C68093}"/>
    <cellStyle name="Normal 8 2 4 2 2 2 2 3" xfId="24306" xr:uid="{80591A21-EEA6-4180-B73A-AA28E21C1522}"/>
    <cellStyle name="Normal 8 2 4 2 2 2 3" xfId="11648" xr:uid="{3E97E66F-6297-4901-9C88-61F42B92B787}"/>
    <cellStyle name="Normal 8 2 4 2 2 2 4" xfId="20089" xr:uid="{DD497A67-E8CE-405B-BE1B-B86D53B87B9A}"/>
    <cellStyle name="Normal 8 2 4 2 2 3" xfId="5271" xr:uid="{00000000-0005-0000-0000-0000E81C0000}"/>
    <cellStyle name="Normal 8 2 4 2 2 3 2" xfId="13721" xr:uid="{139C0A50-AE1D-4CC4-8A7F-C681AFB4B8CC}"/>
    <cellStyle name="Normal 8 2 4 2 2 3 3" xfId="22161" xr:uid="{71CE9EF5-3F78-41EC-8FAB-DEDBFC582740}"/>
    <cellStyle name="Normal 8 2 4 2 2 4" xfId="9503" xr:uid="{33B5D027-4CA9-467E-93C1-0E11D9922E8B}"/>
    <cellStyle name="Normal 8 2 4 2 2 5" xfId="17944" xr:uid="{4E7B5421-9527-4A22-A415-030CD7ACC15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AA73C199-0EFC-4BE0-8CAB-A7D2B4FE62A7}"/>
    <cellStyle name="Normal 8 2 4 2 3 2 2 3" xfId="24719" xr:uid="{1155650A-F305-40D7-8A1D-5898C37F262B}"/>
    <cellStyle name="Normal 8 2 4 2 3 2 3" xfId="12061" xr:uid="{23B08597-D956-47C8-AA28-D907AFECF435}"/>
    <cellStyle name="Normal 8 2 4 2 3 2 4" xfId="20502" xr:uid="{04980CCD-C030-4828-8A05-33A1001627D0}"/>
    <cellStyle name="Normal 8 2 4 2 3 3" xfId="5684" xr:uid="{00000000-0005-0000-0000-0000EC1C0000}"/>
    <cellStyle name="Normal 8 2 4 2 3 3 2" xfId="14134" xr:uid="{A75621F4-015E-43F0-8BDF-BF93086E4507}"/>
    <cellStyle name="Normal 8 2 4 2 3 3 3" xfId="22574" xr:uid="{AF666DC6-17D1-4537-9F81-505794BB7064}"/>
    <cellStyle name="Normal 8 2 4 2 3 4" xfId="9916" xr:uid="{3B2EA885-CD7B-4CCE-BDA8-FEE5B8FB1667}"/>
    <cellStyle name="Normal 8 2 4 2 3 5" xfId="18357" xr:uid="{91D6E9F0-6AED-466D-9EC5-92BAFDCA975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EA0454AA-292A-4176-9FA7-AE66510F49AB}"/>
    <cellStyle name="Normal 8 2 4 2 4 2 2 3" xfId="25132" xr:uid="{3F1B789F-F443-4795-992D-41D64AF5C595}"/>
    <cellStyle name="Normal 8 2 4 2 4 2 3" xfId="12474" xr:uid="{A5C568EA-ADAE-4498-893C-05C7178CB4D9}"/>
    <cellStyle name="Normal 8 2 4 2 4 2 4" xfId="20915" xr:uid="{AA25A787-D511-4824-A8D9-47142C7FF234}"/>
    <cellStyle name="Normal 8 2 4 2 4 3" xfId="6097" xr:uid="{00000000-0005-0000-0000-0000F01C0000}"/>
    <cellStyle name="Normal 8 2 4 2 4 3 2" xfId="14547" xr:uid="{C3E5C334-E2A6-4C37-8B6D-A487215B8FF2}"/>
    <cellStyle name="Normal 8 2 4 2 4 3 3" xfId="22987" xr:uid="{A92FB95A-0280-4560-B3B0-C07ADF0A9D9E}"/>
    <cellStyle name="Normal 8 2 4 2 4 4" xfId="10329" xr:uid="{A099CA3D-4001-4DD2-90D4-BDC9F3DD6B3C}"/>
    <cellStyle name="Normal 8 2 4 2 4 5" xfId="18770" xr:uid="{0785C322-1958-4F73-89FC-45202383E02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A32C0567-111C-479D-8828-91D323CA1891}"/>
    <cellStyle name="Normal 8 2 4 2 5 2 2 3" xfId="25545" xr:uid="{1C291BC7-9F55-4C29-AB9C-97784AA66D92}"/>
    <cellStyle name="Normal 8 2 4 2 5 2 3" xfId="12887" xr:uid="{FFDF0F68-A304-4379-AB3A-562410ED7852}"/>
    <cellStyle name="Normal 8 2 4 2 5 2 4" xfId="21328" xr:uid="{A7586CCB-FA63-4327-B298-B6550EF47814}"/>
    <cellStyle name="Normal 8 2 4 2 5 3" xfId="6510" xr:uid="{00000000-0005-0000-0000-0000F41C0000}"/>
    <cellStyle name="Normal 8 2 4 2 5 3 2" xfId="14960" xr:uid="{3B3FDE09-0B57-4120-8EB9-779F858CCC9B}"/>
    <cellStyle name="Normal 8 2 4 2 5 3 3" xfId="23400" xr:uid="{A3392AB7-EF35-4544-88FD-2B2F1AE4BFE4}"/>
    <cellStyle name="Normal 8 2 4 2 5 4" xfId="10742" xr:uid="{040C4EC8-9C47-437D-BC83-3CB61C4AE16F}"/>
    <cellStyle name="Normal 8 2 4 2 5 5" xfId="19183" xr:uid="{FFF88B61-FBDF-42C2-9DA3-2D5C3B28CB6C}"/>
    <cellStyle name="Normal 8 2 4 2 6" xfId="2640" xr:uid="{00000000-0005-0000-0000-0000F51C0000}"/>
    <cellStyle name="Normal 8 2 4 2 6 2" xfId="6923" xr:uid="{00000000-0005-0000-0000-0000F61C0000}"/>
    <cellStyle name="Normal 8 2 4 2 6 2 2" xfId="15373" xr:uid="{1754E158-8E3E-4BA5-B757-7CF570219EDD}"/>
    <cellStyle name="Normal 8 2 4 2 6 2 3" xfId="23813" xr:uid="{D7CD16A5-BBD6-4A7B-A0C3-A689566FBF21}"/>
    <cellStyle name="Normal 8 2 4 2 6 3" xfId="11155" xr:uid="{9DFD940E-B8DD-4248-84F6-9A4B27A659AC}"/>
    <cellStyle name="Normal 8 2 4 2 6 4" xfId="19596" xr:uid="{106FA67A-DD75-4033-9230-5AEE1AFAD9F3}"/>
    <cellStyle name="Normal 8 2 4 2 7" xfId="4858" xr:uid="{00000000-0005-0000-0000-0000F71C0000}"/>
    <cellStyle name="Normal 8 2 4 2 7 2" xfId="13308" xr:uid="{976A2BF5-0B5E-47CE-AD1C-DE43B3CCAC24}"/>
    <cellStyle name="Normal 8 2 4 2 7 3" xfId="21748" xr:uid="{DBC4D445-1EB1-4300-825A-C75D912AD1D4}"/>
    <cellStyle name="Normal 8 2 4 2 8" xfId="9090" xr:uid="{857C9D4F-09C9-4BBA-B772-08F9967E1D1B}"/>
    <cellStyle name="Normal 8 2 4 2 9" xfId="17531" xr:uid="{B65471E4-3444-40B1-81B5-42FB006D7CC1}"/>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C6CD5E6A-DC14-4D85-AD5B-BA9D751DD3ED}"/>
    <cellStyle name="Normal 8 2 4 3 2 2 3" xfId="24305" xr:uid="{2F7757B1-2DAA-4246-B0AF-3D69BE0E57E5}"/>
    <cellStyle name="Normal 8 2 4 3 2 3" xfId="11647" xr:uid="{2E0F9C9C-74C8-4C19-8EDA-A26B5FF651E2}"/>
    <cellStyle name="Normal 8 2 4 3 2 4" xfId="20088" xr:uid="{FABFE1E0-515F-4BE9-A65E-0DBB7508C554}"/>
    <cellStyle name="Normal 8 2 4 3 3" xfId="5270" xr:uid="{00000000-0005-0000-0000-0000FB1C0000}"/>
    <cellStyle name="Normal 8 2 4 3 3 2" xfId="13720" xr:uid="{03ED7A80-1587-4855-9018-FF6BF6CC97E2}"/>
    <cellStyle name="Normal 8 2 4 3 3 3" xfId="22160" xr:uid="{9E860CB0-8B53-41F8-8963-3E38654D8234}"/>
    <cellStyle name="Normal 8 2 4 3 4" xfId="9502" xr:uid="{6B3A1C5E-4E8E-4842-B054-2114860EC758}"/>
    <cellStyle name="Normal 8 2 4 3 5" xfId="17943" xr:uid="{8C8EE0ED-FB0B-40FE-95CF-A360E01C9D21}"/>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98AB0424-7434-4B86-AE08-E298670DFC6A}"/>
    <cellStyle name="Normal 8 2 4 4 2 2 3" xfId="24718" xr:uid="{AD40A69F-120E-4ADF-8921-4268008F2878}"/>
    <cellStyle name="Normal 8 2 4 4 2 3" xfId="12060" xr:uid="{C6A8960B-F445-4D5A-AC84-A924725FDBC3}"/>
    <cellStyle name="Normal 8 2 4 4 2 4" xfId="20501" xr:uid="{EFD51EFC-AFF7-4A0F-94D7-0725B175E1EC}"/>
    <cellStyle name="Normal 8 2 4 4 3" xfId="5683" xr:uid="{00000000-0005-0000-0000-0000FF1C0000}"/>
    <cellStyle name="Normal 8 2 4 4 3 2" xfId="14133" xr:uid="{D05743AF-7EC4-4784-95A1-78CF497EABA9}"/>
    <cellStyle name="Normal 8 2 4 4 3 3" xfId="22573" xr:uid="{EB693FE2-6E4A-4FA9-99FB-EB6372360023}"/>
    <cellStyle name="Normal 8 2 4 4 4" xfId="9915" xr:uid="{5FD6950C-0D70-47D5-910F-A7F3A814704C}"/>
    <cellStyle name="Normal 8 2 4 4 5" xfId="18356" xr:uid="{305FE594-CFBA-477B-BA48-19BE12501EE7}"/>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8428D03F-CC63-4CE1-A0BD-5AD3EBF296A5}"/>
    <cellStyle name="Normal 8 2 4 5 2 2 3" xfId="25131" xr:uid="{E5F1BF88-E13B-49E7-97AD-71D2DD290D6E}"/>
    <cellStyle name="Normal 8 2 4 5 2 3" xfId="12473" xr:uid="{7DF22EF8-41CE-4A11-AF82-53D95B133643}"/>
    <cellStyle name="Normal 8 2 4 5 2 4" xfId="20914" xr:uid="{CBAC519A-FD83-4BAB-932D-12676C79F605}"/>
    <cellStyle name="Normal 8 2 4 5 3" xfId="6096" xr:uid="{00000000-0005-0000-0000-0000031D0000}"/>
    <cellStyle name="Normal 8 2 4 5 3 2" xfId="14546" xr:uid="{EB9E11D4-EC16-4266-87EC-92D38854DEB0}"/>
    <cellStyle name="Normal 8 2 4 5 3 3" xfId="22986" xr:uid="{68D2C639-E1A8-45DD-B77E-78E4D0B67EF6}"/>
    <cellStyle name="Normal 8 2 4 5 4" xfId="10328" xr:uid="{622EF0B9-57A8-44CD-92BF-58AE87E0236D}"/>
    <cellStyle name="Normal 8 2 4 5 5" xfId="18769" xr:uid="{279D058F-7BFD-4D26-805F-420D8F8643BA}"/>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DD678CE5-85B3-4BAA-938B-0B8919737830}"/>
    <cellStyle name="Normal 8 2 4 6 2 2 3" xfId="25544" xr:uid="{780EFA9F-F19E-4B19-B926-B98C407831B6}"/>
    <cellStyle name="Normal 8 2 4 6 2 3" xfId="12886" xr:uid="{C3EE6D31-0F55-45A1-92D9-1ACE52D99A19}"/>
    <cellStyle name="Normal 8 2 4 6 2 4" xfId="21327" xr:uid="{6E372CB9-6A51-45CE-9288-2A20F5D80DA7}"/>
    <cellStyle name="Normal 8 2 4 6 3" xfId="6509" xr:uid="{00000000-0005-0000-0000-0000071D0000}"/>
    <cellStyle name="Normal 8 2 4 6 3 2" xfId="14959" xr:uid="{E09C6EC9-3B7F-4289-8EB2-346C1846AC1F}"/>
    <cellStyle name="Normal 8 2 4 6 3 3" xfId="23399" xr:uid="{6C84D00D-5F7E-4D27-8908-44809C436503}"/>
    <cellStyle name="Normal 8 2 4 6 4" xfId="10741" xr:uid="{AB17C1BE-EC10-46F4-9B54-514FE4CC3249}"/>
    <cellStyle name="Normal 8 2 4 6 5" xfId="19182" xr:uid="{7BF22C96-A31B-48F7-BCF4-D3D74E9C3034}"/>
    <cellStyle name="Normal 8 2 4 7" xfId="2639" xr:uid="{00000000-0005-0000-0000-0000081D0000}"/>
    <cellStyle name="Normal 8 2 4 7 2" xfId="6922" xr:uid="{00000000-0005-0000-0000-0000091D0000}"/>
    <cellStyle name="Normal 8 2 4 7 2 2" xfId="15372" xr:uid="{477CF04F-07E2-4717-81B3-5EB969B58ADC}"/>
    <cellStyle name="Normal 8 2 4 7 2 3" xfId="23812" xr:uid="{98A12417-7E77-462F-8086-DB08AD9917B4}"/>
    <cellStyle name="Normal 8 2 4 7 3" xfId="11154" xr:uid="{28A90F6E-7770-4A0F-9D09-A121C0186E1C}"/>
    <cellStyle name="Normal 8 2 4 7 4" xfId="19595" xr:uid="{5159624E-0AE1-49E1-90F3-8590736A20C1}"/>
    <cellStyle name="Normal 8 2 4 8" xfId="4857" xr:uid="{00000000-0005-0000-0000-00000A1D0000}"/>
    <cellStyle name="Normal 8 2 4 8 2" xfId="13307" xr:uid="{EC7E1B39-12E8-4EE8-BE7F-06F132F1767A}"/>
    <cellStyle name="Normal 8 2 4 8 3" xfId="21747" xr:uid="{1CB32E24-C80C-4680-9BF2-BBFCC25A5571}"/>
    <cellStyle name="Normal 8 2 4 9" xfId="9089" xr:uid="{7D5E6C40-E4DD-409A-A51A-71EB2CBB82C9}"/>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84D5E5FC-C5FC-474B-80FA-86FA5CDFAE16}"/>
    <cellStyle name="Normal 8 2 5 2 2 2 3" xfId="24307" xr:uid="{ECFFC927-6542-4B6E-AF3C-DD6D1ADA2709}"/>
    <cellStyle name="Normal 8 2 5 2 2 3" xfId="11649" xr:uid="{B0A29461-0A9D-4F01-9FA0-CE1834A12B6C}"/>
    <cellStyle name="Normal 8 2 5 2 2 4" xfId="20090" xr:uid="{ADDBE146-017C-42B4-B221-3FCEAF994894}"/>
    <cellStyle name="Normal 8 2 5 2 3" xfId="5272" xr:uid="{00000000-0005-0000-0000-00000F1D0000}"/>
    <cellStyle name="Normal 8 2 5 2 3 2" xfId="13722" xr:uid="{57E13F94-FB6B-493B-B84E-B44AF6CCEA8C}"/>
    <cellStyle name="Normal 8 2 5 2 3 3" xfId="22162" xr:uid="{D3D1719F-C305-4502-9D83-6082D3A02ABF}"/>
    <cellStyle name="Normal 8 2 5 2 4" xfId="9504" xr:uid="{44CB28C7-BADA-4161-968D-B42583DB88DD}"/>
    <cellStyle name="Normal 8 2 5 2 5" xfId="17945" xr:uid="{DA4C8E8C-2D7B-4185-8581-DEEC12D48D9F}"/>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E4F62C90-E702-4AC2-837C-D1018C0C77DB}"/>
    <cellStyle name="Normal 8 2 5 3 2 2 3" xfId="24720" xr:uid="{89C592B7-EA0E-4EDB-9AC2-82900699D42A}"/>
    <cellStyle name="Normal 8 2 5 3 2 3" xfId="12062" xr:uid="{17CA2A98-4EF2-40BF-A75A-41A21183D4E2}"/>
    <cellStyle name="Normal 8 2 5 3 2 4" xfId="20503" xr:uid="{5B946C81-309D-4FEB-A456-FAE0B90B91AD}"/>
    <cellStyle name="Normal 8 2 5 3 3" xfId="5685" xr:uid="{00000000-0005-0000-0000-0000131D0000}"/>
    <cellStyle name="Normal 8 2 5 3 3 2" xfId="14135" xr:uid="{5D66EDEE-8D41-4899-8A8C-884EF303C0C4}"/>
    <cellStyle name="Normal 8 2 5 3 3 3" xfId="22575" xr:uid="{EE53B060-964F-4C0E-A57B-773AD5652A50}"/>
    <cellStyle name="Normal 8 2 5 3 4" xfId="9917" xr:uid="{48867DF1-A383-4E7F-9285-67F9BDCF7E5A}"/>
    <cellStyle name="Normal 8 2 5 3 5" xfId="18358" xr:uid="{FCBFB36C-7C7F-4FE6-92D8-C3E1432C1F28}"/>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6E4284DD-4805-4988-9581-C0D2E1C32006}"/>
    <cellStyle name="Normal 8 2 5 4 2 2 3" xfId="25133" xr:uid="{B0759756-948E-469F-B6EE-F264951CB365}"/>
    <cellStyle name="Normal 8 2 5 4 2 3" xfId="12475" xr:uid="{E7DD9AA9-2D31-47D7-9A5F-A2E84D474D27}"/>
    <cellStyle name="Normal 8 2 5 4 2 4" xfId="20916" xr:uid="{296F6C8E-23AC-4A61-85C8-CAF6E5BABC5B}"/>
    <cellStyle name="Normal 8 2 5 4 3" xfId="6098" xr:uid="{00000000-0005-0000-0000-0000171D0000}"/>
    <cellStyle name="Normal 8 2 5 4 3 2" xfId="14548" xr:uid="{01656137-2125-4E1A-B5C1-44E1DB1B69EB}"/>
    <cellStyle name="Normal 8 2 5 4 3 3" xfId="22988" xr:uid="{8A1F1026-31F0-4BC4-B21D-E4257C8C1E2E}"/>
    <cellStyle name="Normal 8 2 5 4 4" xfId="10330" xr:uid="{EF7A480E-77E2-4552-B9FD-724A28E120E0}"/>
    <cellStyle name="Normal 8 2 5 4 5" xfId="18771" xr:uid="{67A8D115-B428-477A-A71E-3BB7A977FFCD}"/>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F58C9048-7A18-4F26-9DF0-11B73709A1CA}"/>
    <cellStyle name="Normal 8 2 5 5 2 2 3" xfId="25546" xr:uid="{7376BF03-AD28-4957-9704-17ED75DAB99B}"/>
    <cellStyle name="Normal 8 2 5 5 2 3" xfId="12888" xr:uid="{ABDC297A-00FF-449A-877F-26D59E14FD0B}"/>
    <cellStyle name="Normal 8 2 5 5 2 4" xfId="21329" xr:uid="{BE2DB445-787E-4F9C-87C9-A64C64DF4E73}"/>
    <cellStyle name="Normal 8 2 5 5 3" xfId="6511" xr:uid="{00000000-0005-0000-0000-00001B1D0000}"/>
    <cellStyle name="Normal 8 2 5 5 3 2" xfId="14961" xr:uid="{01E76C66-D24C-4670-9C4C-3281305C1FE5}"/>
    <cellStyle name="Normal 8 2 5 5 3 3" xfId="23401" xr:uid="{D039A519-3235-4162-BB39-47F5C54CE9F9}"/>
    <cellStyle name="Normal 8 2 5 5 4" xfId="10743" xr:uid="{F52CA97D-7FCD-42D1-9F81-597A0CC81D85}"/>
    <cellStyle name="Normal 8 2 5 5 5" xfId="19184" xr:uid="{2604FA54-69EC-4157-B0EA-52975D7DA1F5}"/>
    <cellStyle name="Normal 8 2 5 6" xfId="2641" xr:uid="{00000000-0005-0000-0000-00001C1D0000}"/>
    <cellStyle name="Normal 8 2 5 6 2" xfId="6924" xr:uid="{00000000-0005-0000-0000-00001D1D0000}"/>
    <cellStyle name="Normal 8 2 5 6 2 2" xfId="15374" xr:uid="{96752D40-DEE1-4E9D-BEC9-F61DEF833EF8}"/>
    <cellStyle name="Normal 8 2 5 6 2 3" xfId="23814" xr:uid="{A3E33BFF-8B99-427F-9BB9-7A0D6852BE0D}"/>
    <cellStyle name="Normal 8 2 5 6 3" xfId="11156" xr:uid="{4A93839A-6D52-48A3-8449-DBC5119D423F}"/>
    <cellStyle name="Normal 8 2 5 6 4" xfId="19597" xr:uid="{F0074057-DB3A-4374-8B93-6697160E631E}"/>
    <cellStyle name="Normal 8 2 5 7" xfId="4859" xr:uid="{00000000-0005-0000-0000-00001E1D0000}"/>
    <cellStyle name="Normal 8 2 5 7 2" xfId="13309" xr:uid="{3361CCEA-43D2-4E31-A555-6EE70FE208F6}"/>
    <cellStyle name="Normal 8 2 5 7 3" xfId="21749" xr:uid="{C53419CB-9A1C-44FA-8A0C-E30982546685}"/>
    <cellStyle name="Normal 8 2 5 8" xfId="9091" xr:uid="{815A7B9C-BB4E-4D3C-967C-B49725D3C069}"/>
    <cellStyle name="Normal 8 2 5 9" xfId="17532" xr:uid="{628E6937-3C2E-4388-992D-16E30CD3C40F}"/>
    <cellStyle name="Normal 8 2 6" xfId="946" xr:uid="{00000000-0005-0000-0000-00001F1D0000}"/>
    <cellStyle name="Normal 8 2 6 2" xfId="3180" xr:uid="{00000000-0005-0000-0000-0000201D0000}"/>
    <cellStyle name="Normal 8 2 6 2 2" xfId="7402" xr:uid="{00000000-0005-0000-0000-0000211D0000}"/>
    <cellStyle name="Normal 8 2 6 2 2 2" xfId="15852" xr:uid="{73767582-126F-44DA-89AE-3EE81D09A9E3}"/>
    <cellStyle name="Normal 8 2 6 2 2 3" xfId="24292" xr:uid="{2B4E01A7-FE75-4F59-B1FD-A7A753F5A463}"/>
    <cellStyle name="Normal 8 2 6 2 3" xfId="11634" xr:uid="{7F48275F-900C-4EAD-A445-31981D9EDBAB}"/>
    <cellStyle name="Normal 8 2 6 2 4" xfId="20075" xr:uid="{838F99C2-30BF-496F-B4F4-E67CEFBEAE7D}"/>
    <cellStyle name="Normal 8 2 6 3" xfId="5257" xr:uid="{00000000-0005-0000-0000-0000221D0000}"/>
    <cellStyle name="Normal 8 2 6 3 2" xfId="13707" xr:uid="{EFA2C5CC-338C-4438-B3A7-5B43E8A96CA1}"/>
    <cellStyle name="Normal 8 2 6 3 3" xfId="22147" xr:uid="{A889E2CB-072A-4CE9-A644-C26496EDEC25}"/>
    <cellStyle name="Normal 8 2 6 4" xfId="9489" xr:uid="{4DCF7EEF-0214-4C27-B3E5-1BDF3BE0885D}"/>
    <cellStyle name="Normal 8 2 6 5" xfId="17930" xr:uid="{2F49F6DE-20DF-4A15-9EDF-EDCC4A034A6F}"/>
    <cellStyle name="Normal 8 2 7" xfId="1363" xr:uid="{00000000-0005-0000-0000-0000231D0000}"/>
    <cellStyle name="Normal 8 2 7 2" xfId="3593" xr:uid="{00000000-0005-0000-0000-0000241D0000}"/>
    <cellStyle name="Normal 8 2 7 2 2" xfId="7815" xr:uid="{00000000-0005-0000-0000-0000251D0000}"/>
    <cellStyle name="Normal 8 2 7 2 2 2" xfId="16265" xr:uid="{8F794CE8-3437-42A9-B7DC-FEEC87A1C419}"/>
    <cellStyle name="Normal 8 2 7 2 2 3" xfId="24705" xr:uid="{41370F98-D0C8-4690-AC9B-BA1A68861677}"/>
    <cellStyle name="Normal 8 2 7 2 3" xfId="12047" xr:uid="{65981818-B288-4F25-8552-8BFD39122D67}"/>
    <cellStyle name="Normal 8 2 7 2 4" xfId="20488" xr:uid="{FBB15971-5EF0-459E-BB9B-C5EDA820D615}"/>
    <cellStyle name="Normal 8 2 7 3" xfId="5670" xr:uid="{00000000-0005-0000-0000-0000261D0000}"/>
    <cellStyle name="Normal 8 2 7 3 2" xfId="14120" xr:uid="{A8107E42-D335-4F9C-9F5C-7D025E521855}"/>
    <cellStyle name="Normal 8 2 7 3 3" xfId="22560" xr:uid="{92021FD2-D334-4669-A8C3-521656DDC71F}"/>
    <cellStyle name="Normal 8 2 7 4" xfId="9902" xr:uid="{6A006273-E061-4D9C-A1F8-02665C1D3682}"/>
    <cellStyle name="Normal 8 2 7 5" xfId="18343" xr:uid="{E7842C5F-10C9-490C-BDDC-A6CD3A206A92}"/>
    <cellStyle name="Normal 8 2 8" xfId="1776" xr:uid="{00000000-0005-0000-0000-0000271D0000}"/>
    <cellStyle name="Normal 8 2 8 2" xfId="4006" xr:uid="{00000000-0005-0000-0000-0000281D0000}"/>
    <cellStyle name="Normal 8 2 8 2 2" xfId="8228" xr:uid="{00000000-0005-0000-0000-0000291D0000}"/>
    <cellStyle name="Normal 8 2 8 2 2 2" xfId="16678" xr:uid="{982965B9-5023-4917-985B-200350E5E06F}"/>
    <cellStyle name="Normal 8 2 8 2 2 3" xfId="25118" xr:uid="{DBE855FC-DC75-46FF-B411-B2FFC2E8D6B2}"/>
    <cellStyle name="Normal 8 2 8 2 3" xfId="12460" xr:uid="{B4CBA293-D3DC-4C91-8023-73CDBC761874}"/>
    <cellStyle name="Normal 8 2 8 2 4" xfId="20901" xr:uid="{931FFCCF-E579-4A19-87A6-8DD0B0AEB40D}"/>
    <cellStyle name="Normal 8 2 8 3" xfId="6083" xr:uid="{00000000-0005-0000-0000-00002A1D0000}"/>
    <cellStyle name="Normal 8 2 8 3 2" xfId="14533" xr:uid="{F5E86A7D-A457-46E6-B745-E2E19E16ACB8}"/>
    <cellStyle name="Normal 8 2 8 3 3" xfId="22973" xr:uid="{66F1767F-24CF-477F-B003-193DA38AA559}"/>
    <cellStyle name="Normal 8 2 8 4" xfId="10315" xr:uid="{A2F4296F-BCA7-4AE0-84C2-4616C5A26DA2}"/>
    <cellStyle name="Normal 8 2 8 5" xfId="18756" xr:uid="{FFC6AAD8-505E-42D9-B11B-9C44918FC05A}"/>
    <cellStyle name="Normal 8 2 9" xfId="2190" xr:uid="{00000000-0005-0000-0000-00002B1D0000}"/>
    <cellStyle name="Normal 8 2 9 2" xfId="4419" xr:uid="{00000000-0005-0000-0000-00002C1D0000}"/>
    <cellStyle name="Normal 8 2 9 2 2" xfId="8641" xr:uid="{00000000-0005-0000-0000-00002D1D0000}"/>
    <cellStyle name="Normal 8 2 9 2 2 2" xfId="17091" xr:uid="{9C88847F-B53F-4FD0-9BA6-FC76A15442D9}"/>
    <cellStyle name="Normal 8 2 9 2 2 3" xfId="25531" xr:uid="{036C9BE8-4FC1-48B9-BA8C-483F416E66C1}"/>
    <cellStyle name="Normal 8 2 9 2 3" xfId="12873" xr:uid="{CD51F8EF-C7D0-4DB6-BA5C-911D3B92F8DB}"/>
    <cellStyle name="Normal 8 2 9 2 4" xfId="21314" xr:uid="{B6806F9B-A6B9-4745-8950-E012039E3E58}"/>
    <cellStyle name="Normal 8 2 9 3" xfId="6496" xr:uid="{00000000-0005-0000-0000-00002E1D0000}"/>
    <cellStyle name="Normal 8 2 9 3 2" xfId="14946" xr:uid="{5E9B4D60-04FD-4C86-9E4D-E635038240C0}"/>
    <cellStyle name="Normal 8 2 9 3 3" xfId="23386" xr:uid="{897181F7-677B-4D73-990A-930BA72797FE}"/>
    <cellStyle name="Normal 8 2 9 4" xfId="10728" xr:uid="{1535FBE2-F6EF-485E-B4A9-69BE87D4DE79}"/>
    <cellStyle name="Normal 8 2 9 5" xfId="19169" xr:uid="{3C8D4C9A-7444-4B3C-B804-BD4311D1FFDC}"/>
    <cellStyle name="Normal 8 3" xfId="495" xr:uid="{00000000-0005-0000-0000-00002F1D0000}"/>
    <cellStyle name="Normal 8 3 10" xfId="4860" xr:uid="{00000000-0005-0000-0000-0000301D0000}"/>
    <cellStyle name="Normal 8 3 10 2" xfId="13310" xr:uid="{148167BF-741B-4712-A89A-D66C8D438908}"/>
    <cellStyle name="Normal 8 3 10 3" xfId="21750" xr:uid="{9FB14D53-4176-4B83-A8E9-AEC64021495B}"/>
    <cellStyle name="Normal 8 3 11" xfId="9092" xr:uid="{D0028AB7-F967-4CB3-8B91-AA57AFDE8ADD}"/>
    <cellStyle name="Normal 8 3 12" xfId="17533" xr:uid="{6ECCAE94-4EDE-4A05-A66E-B38E2CF97860}"/>
    <cellStyle name="Normal 8 3 2" xfId="496" xr:uid="{00000000-0005-0000-0000-0000311D0000}"/>
    <cellStyle name="Normal 8 3 2 10" xfId="9093" xr:uid="{CD22E5F7-13D3-4A76-8662-B8DA6F7B6419}"/>
    <cellStyle name="Normal 8 3 2 11" xfId="17534" xr:uid="{D741F3AC-B4FE-435D-833E-0DF5B4AF0C88}"/>
    <cellStyle name="Normal 8 3 2 2" xfId="497" xr:uid="{00000000-0005-0000-0000-0000321D0000}"/>
    <cellStyle name="Normal 8 3 2 2 10" xfId="17535" xr:uid="{8974776A-8359-413B-9310-50B1DB9BBD0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9A0B5B51-92BD-4B07-AB84-10AF921BBA0F}"/>
    <cellStyle name="Normal 8 3 2 2 2 2 2 2 3" xfId="24311" xr:uid="{203166C7-FEBD-496A-B040-D1E5818C9DF2}"/>
    <cellStyle name="Normal 8 3 2 2 2 2 2 3" xfId="11653" xr:uid="{9C903C31-4758-4B0E-8F85-5DFE6051CEBC}"/>
    <cellStyle name="Normal 8 3 2 2 2 2 2 4" xfId="20094" xr:uid="{1CAE56B9-DE0C-4664-AB6A-F58BF12CD03A}"/>
    <cellStyle name="Normal 8 3 2 2 2 2 3" xfId="5276" xr:uid="{00000000-0005-0000-0000-0000371D0000}"/>
    <cellStyle name="Normal 8 3 2 2 2 2 3 2" xfId="13726" xr:uid="{B97292BD-F496-478F-A8D0-D22E075FDB5B}"/>
    <cellStyle name="Normal 8 3 2 2 2 2 3 3" xfId="22166" xr:uid="{6364720B-B619-4BBE-824B-5AC11A280182}"/>
    <cellStyle name="Normal 8 3 2 2 2 2 4" xfId="9508" xr:uid="{3F5F13F7-066D-45A6-8990-C8258CADE4F1}"/>
    <cellStyle name="Normal 8 3 2 2 2 2 5" xfId="17949" xr:uid="{22A5F497-0BA8-4A98-8BBC-78D5D77156F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85B84E6D-A0A8-430D-8151-43E637B3E8EA}"/>
    <cellStyle name="Normal 8 3 2 2 2 3 2 2 3" xfId="24724" xr:uid="{86CB82C6-ABA0-4EE9-B12F-535DABAD29DC}"/>
    <cellStyle name="Normal 8 3 2 2 2 3 2 3" xfId="12066" xr:uid="{F3B65EB2-4FA2-40CE-B001-D6E819FDC48A}"/>
    <cellStyle name="Normal 8 3 2 2 2 3 2 4" xfId="20507" xr:uid="{4E227EF1-E866-4F7A-99B5-617D2FACB88D}"/>
    <cellStyle name="Normal 8 3 2 2 2 3 3" xfId="5689" xr:uid="{00000000-0005-0000-0000-00003B1D0000}"/>
    <cellStyle name="Normal 8 3 2 2 2 3 3 2" xfId="14139" xr:uid="{823C57A0-DCED-4F88-A955-3390CC4205AB}"/>
    <cellStyle name="Normal 8 3 2 2 2 3 3 3" xfId="22579" xr:uid="{87A28CF9-126B-44A8-B85C-F36FBBC7B007}"/>
    <cellStyle name="Normal 8 3 2 2 2 3 4" xfId="9921" xr:uid="{3B49B6E6-832F-4F5E-9D4E-A235C7885594}"/>
    <cellStyle name="Normal 8 3 2 2 2 3 5" xfId="18362" xr:uid="{01643CEC-90FE-40C7-B337-1F6FD656BF5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F3F125F3-0354-4CFC-B46A-970FC9A88EE9}"/>
    <cellStyle name="Normal 8 3 2 2 2 4 2 2 3" xfId="25137" xr:uid="{A4098010-6D29-4102-9C58-F3643DDF4EBF}"/>
    <cellStyle name="Normal 8 3 2 2 2 4 2 3" xfId="12479" xr:uid="{3B336825-62F5-4C1F-B90A-4E94F7647FD1}"/>
    <cellStyle name="Normal 8 3 2 2 2 4 2 4" xfId="20920" xr:uid="{744B8D50-2E40-4BB9-9B97-487AE783D824}"/>
    <cellStyle name="Normal 8 3 2 2 2 4 3" xfId="6102" xr:uid="{00000000-0005-0000-0000-00003F1D0000}"/>
    <cellStyle name="Normal 8 3 2 2 2 4 3 2" xfId="14552" xr:uid="{49AB670C-5BEC-45D6-9B93-6C3108C919EF}"/>
    <cellStyle name="Normal 8 3 2 2 2 4 3 3" xfId="22992" xr:uid="{61E7DC4B-87FB-4EBD-BC9C-E13AA27976A5}"/>
    <cellStyle name="Normal 8 3 2 2 2 4 4" xfId="10334" xr:uid="{A389F06A-63FA-42D4-98B0-3CEEB4D3527B}"/>
    <cellStyle name="Normal 8 3 2 2 2 4 5" xfId="18775" xr:uid="{FCFE283C-F5CF-4042-AA78-B74C64FEC7E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170B67DC-CD9C-44E4-827E-F0D2B4693595}"/>
    <cellStyle name="Normal 8 3 2 2 2 5 2 2 3" xfId="25550" xr:uid="{96ECCFCB-0F13-44E5-AAB7-95CF2A9AAABD}"/>
    <cellStyle name="Normal 8 3 2 2 2 5 2 3" xfId="12892" xr:uid="{F88E615D-99A1-4A9A-B0E8-BBCEC2AEF84F}"/>
    <cellStyle name="Normal 8 3 2 2 2 5 2 4" xfId="21333" xr:uid="{FCDEA23E-8B3A-499E-854E-68B183B87E45}"/>
    <cellStyle name="Normal 8 3 2 2 2 5 3" xfId="6515" xr:uid="{00000000-0005-0000-0000-0000431D0000}"/>
    <cellStyle name="Normal 8 3 2 2 2 5 3 2" xfId="14965" xr:uid="{665E5A9D-5204-44FB-BE47-02E356203EB4}"/>
    <cellStyle name="Normal 8 3 2 2 2 5 3 3" xfId="23405" xr:uid="{BBE66EDF-0DAD-4E29-9084-4B88CF74275C}"/>
    <cellStyle name="Normal 8 3 2 2 2 5 4" xfId="10747" xr:uid="{9FED22F0-52EF-45E3-9210-BB058C7D082F}"/>
    <cellStyle name="Normal 8 3 2 2 2 5 5" xfId="19188" xr:uid="{A7A7422E-9DF4-4766-825D-310AEA71D30C}"/>
    <cellStyle name="Normal 8 3 2 2 2 6" xfId="2645" xr:uid="{00000000-0005-0000-0000-0000441D0000}"/>
    <cellStyle name="Normal 8 3 2 2 2 6 2" xfId="6928" xr:uid="{00000000-0005-0000-0000-0000451D0000}"/>
    <cellStyle name="Normal 8 3 2 2 2 6 2 2" xfId="15378" xr:uid="{8AB33FFD-3B68-48FE-A805-BD2ACB27DA47}"/>
    <cellStyle name="Normal 8 3 2 2 2 6 2 3" xfId="23818" xr:uid="{F41ACBC1-2423-4F5C-BFC8-9B5D9ED4F04C}"/>
    <cellStyle name="Normal 8 3 2 2 2 6 3" xfId="11160" xr:uid="{A64D20E2-864F-43AB-BC79-6235C870315C}"/>
    <cellStyle name="Normal 8 3 2 2 2 6 4" xfId="19601" xr:uid="{A68A8BBF-6E63-448B-A780-BFB4BFD64C5F}"/>
    <cellStyle name="Normal 8 3 2 2 2 7" xfId="4863" xr:uid="{00000000-0005-0000-0000-0000461D0000}"/>
    <cellStyle name="Normal 8 3 2 2 2 7 2" xfId="13313" xr:uid="{8527B8DC-5C61-43D0-A983-A6FD651A67FB}"/>
    <cellStyle name="Normal 8 3 2 2 2 7 3" xfId="21753" xr:uid="{66E9366C-81AB-420A-B815-3CA8B4BF2D06}"/>
    <cellStyle name="Normal 8 3 2 2 2 8" xfId="9095" xr:uid="{BE225726-E189-4FC8-9EE9-5235F0C314FB}"/>
    <cellStyle name="Normal 8 3 2 2 2 9" xfId="17536" xr:uid="{7F647986-4BA4-4BC7-987B-0C0DE77272F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65E79C75-9D0E-4B6C-A934-7CC7FBAD4E11}"/>
    <cellStyle name="Normal 8 3 2 2 3 2 2 3" xfId="24310" xr:uid="{9F1E5FAC-3635-441C-B7E9-CFCDFCAEF94A}"/>
    <cellStyle name="Normal 8 3 2 2 3 2 3" xfId="11652" xr:uid="{79E15A81-EF82-4E0C-9C9B-B4B5D097EA06}"/>
    <cellStyle name="Normal 8 3 2 2 3 2 4" xfId="20093" xr:uid="{2770E816-1229-4663-A909-C96727F85484}"/>
    <cellStyle name="Normal 8 3 2 2 3 3" xfId="5275" xr:uid="{00000000-0005-0000-0000-00004A1D0000}"/>
    <cellStyle name="Normal 8 3 2 2 3 3 2" xfId="13725" xr:uid="{C48A0E04-AE35-4541-B181-6D2C2029D8D9}"/>
    <cellStyle name="Normal 8 3 2 2 3 3 3" xfId="22165" xr:uid="{351C2971-2CA1-4F83-972C-9BA14BC165F2}"/>
    <cellStyle name="Normal 8 3 2 2 3 4" xfId="9507" xr:uid="{90A0086A-4176-4E40-9D0D-0169122BC414}"/>
    <cellStyle name="Normal 8 3 2 2 3 5" xfId="17948" xr:uid="{D320941A-24C6-4111-85AA-1FDB20954F17}"/>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1C6B0D34-0FC2-48A4-A40B-BE5665A96B9F}"/>
    <cellStyle name="Normal 8 3 2 2 4 2 2 3" xfId="24723" xr:uid="{43D6D5F1-F8F0-4852-9761-4F9D72E5A138}"/>
    <cellStyle name="Normal 8 3 2 2 4 2 3" xfId="12065" xr:uid="{0E9F5CEE-3F75-49C1-977B-B9FA5CC34607}"/>
    <cellStyle name="Normal 8 3 2 2 4 2 4" xfId="20506" xr:uid="{A5B66A6B-0603-46EC-8C78-DA7DC0DB0444}"/>
    <cellStyle name="Normal 8 3 2 2 4 3" xfId="5688" xr:uid="{00000000-0005-0000-0000-00004E1D0000}"/>
    <cellStyle name="Normal 8 3 2 2 4 3 2" xfId="14138" xr:uid="{A7C7D385-7403-4CB8-8EF9-3449976A5EA8}"/>
    <cellStyle name="Normal 8 3 2 2 4 3 3" xfId="22578" xr:uid="{BB91C979-983A-4F11-80CA-BE5D37F804F5}"/>
    <cellStyle name="Normal 8 3 2 2 4 4" xfId="9920" xr:uid="{31718737-C714-4C13-9F0C-3FE3E645FBD4}"/>
    <cellStyle name="Normal 8 3 2 2 4 5" xfId="18361" xr:uid="{11863BB4-605A-411C-8294-F4F0586DCA6C}"/>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B1DBA79B-B763-44CA-BA2B-BBDF7E5C6E85}"/>
    <cellStyle name="Normal 8 3 2 2 5 2 2 3" xfId="25136" xr:uid="{E28EADA1-B066-4137-9EAC-028084B6033A}"/>
    <cellStyle name="Normal 8 3 2 2 5 2 3" xfId="12478" xr:uid="{34F41F84-3798-49CD-A2F1-F12CF90F39FD}"/>
    <cellStyle name="Normal 8 3 2 2 5 2 4" xfId="20919" xr:uid="{01719A2F-2261-40BF-95E2-C0EE2FD00614}"/>
    <cellStyle name="Normal 8 3 2 2 5 3" xfId="6101" xr:uid="{00000000-0005-0000-0000-0000521D0000}"/>
    <cellStyle name="Normal 8 3 2 2 5 3 2" xfId="14551" xr:uid="{7018E55D-1772-406B-9788-8D40B1A77F45}"/>
    <cellStyle name="Normal 8 3 2 2 5 3 3" xfId="22991" xr:uid="{799DE801-2B35-4C2A-9B88-E413252CEDC8}"/>
    <cellStyle name="Normal 8 3 2 2 5 4" xfId="10333" xr:uid="{5465705F-F201-43AE-9031-558BD3546913}"/>
    <cellStyle name="Normal 8 3 2 2 5 5" xfId="18774" xr:uid="{55A8914D-CAD8-4A5E-85C2-DBA7C68E1602}"/>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82DFDF21-8B0E-4308-81F9-CA2A6D917D3A}"/>
    <cellStyle name="Normal 8 3 2 2 6 2 2 3" xfId="25549" xr:uid="{8675E1EA-B5C1-4E2F-869E-BFE8BC2F372E}"/>
    <cellStyle name="Normal 8 3 2 2 6 2 3" xfId="12891" xr:uid="{EADB5E10-E6C0-44FC-BF01-DAA74EB4190C}"/>
    <cellStyle name="Normal 8 3 2 2 6 2 4" xfId="21332" xr:uid="{8596DFA0-07F7-43DB-B947-C4ACFC051116}"/>
    <cellStyle name="Normal 8 3 2 2 6 3" xfId="6514" xr:uid="{00000000-0005-0000-0000-0000561D0000}"/>
    <cellStyle name="Normal 8 3 2 2 6 3 2" xfId="14964" xr:uid="{496B18E4-431C-4DF2-B065-EF61170452EC}"/>
    <cellStyle name="Normal 8 3 2 2 6 3 3" xfId="23404" xr:uid="{0485AE1D-9563-4705-A81A-B9472EE253B9}"/>
    <cellStyle name="Normal 8 3 2 2 6 4" xfId="10746" xr:uid="{5AC25B69-538A-4D21-A733-69C8912C2086}"/>
    <cellStyle name="Normal 8 3 2 2 6 5" xfId="19187" xr:uid="{F1A6A70F-F443-4148-A8DF-CC3BA7056C77}"/>
    <cellStyle name="Normal 8 3 2 2 7" xfId="2644" xr:uid="{00000000-0005-0000-0000-0000571D0000}"/>
    <cellStyle name="Normal 8 3 2 2 7 2" xfId="6927" xr:uid="{00000000-0005-0000-0000-0000581D0000}"/>
    <cellStyle name="Normal 8 3 2 2 7 2 2" xfId="15377" xr:uid="{93AC472A-EFD9-40D8-B060-2A18C2C42DF5}"/>
    <cellStyle name="Normal 8 3 2 2 7 2 3" xfId="23817" xr:uid="{35FCE8B3-9464-4619-9910-FE1916555147}"/>
    <cellStyle name="Normal 8 3 2 2 7 3" xfId="11159" xr:uid="{F432FCF9-A2FD-48BF-8B39-2ED80213A53F}"/>
    <cellStyle name="Normal 8 3 2 2 7 4" xfId="19600" xr:uid="{4EB4E28D-B001-4C97-B38E-5B916892F64E}"/>
    <cellStyle name="Normal 8 3 2 2 8" xfId="4862" xr:uid="{00000000-0005-0000-0000-0000591D0000}"/>
    <cellStyle name="Normal 8 3 2 2 8 2" xfId="13312" xr:uid="{7346BC6C-D4A9-4416-8422-08DD84527F17}"/>
    <cellStyle name="Normal 8 3 2 2 8 3" xfId="21752" xr:uid="{41AA1493-E528-4028-9C47-04847AEF8C22}"/>
    <cellStyle name="Normal 8 3 2 2 9" xfId="9094" xr:uid="{55485C94-725B-433B-8DC8-BF6568A6195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32C16E26-7324-44B7-A314-16C32B439E56}"/>
    <cellStyle name="Normal 8 3 2 3 2 2 2 3" xfId="24312" xr:uid="{15395E64-2D40-4358-93D3-A0D84A8239E8}"/>
    <cellStyle name="Normal 8 3 2 3 2 2 3" xfId="11654" xr:uid="{720C3E5D-E7D7-4CEF-8AFE-2348B5A9B6FA}"/>
    <cellStyle name="Normal 8 3 2 3 2 2 4" xfId="20095" xr:uid="{CBDF72B9-98AB-446F-B694-8B88BEE95E87}"/>
    <cellStyle name="Normal 8 3 2 3 2 3" xfId="5277" xr:uid="{00000000-0005-0000-0000-00005E1D0000}"/>
    <cellStyle name="Normal 8 3 2 3 2 3 2" xfId="13727" xr:uid="{1BA916CC-8814-4471-BD6A-AEECF8395718}"/>
    <cellStyle name="Normal 8 3 2 3 2 3 3" xfId="22167" xr:uid="{07BF2F39-59CC-4056-9633-10F6389E155A}"/>
    <cellStyle name="Normal 8 3 2 3 2 4" xfId="9509" xr:uid="{1D9D54FE-F9E8-4B79-A2CF-F37A8C7482C8}"/>
    <cellStyle name="Normal 8 3 2 3 2 5" xfId="17950" xr:uid="{B2737655-5606-4702-8E89-B9900F656935}"/>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7780537B-CC47-4BAE-99A9-5D679A96732A}"/>
    <cellStyle name="Normal 8 3 2 3 3 2 2 3" xfId="24725" xr:uid="{CEA30625-87A2-4A62-BCF1-8488682A8AC4}"/>
    <cellStyle name="Normal 8 3 2 3 3 2 3" xfId="12067" xr:uid="{F8287BF9-E392-428F-997D-A88C0646000C}"/>
    <cellStyle name="Normal 8 3 2 3 3 2 4" xfId="20508" xr:uid="{757C26FF-022B-44BA-95DE-92FC5F048BD8}"/>
    <cellStyle name="Normal 8 3 2 3 3 3" xfId="5690" xr:uid="{00000000-0005-0000-0000-0000621D0000}"/>
    <cellStyle name="Normal 8 3 2 3 3 3 2" xfId="14140" xr:uid="{6A9636CF-E997-4701-B6AF-DD44C5BEF191}"/>
    <cellStyle name="Normal 8 3 2 3 3 3 3" xfId="22580" xr:uid="{29FA37AE-EA07-4B0D-878A-7BFAA60A5AD5}"/>
    <cellStyle name="Normal 8 3 2 3 3 4" xfId="9922" xr:uid="{E4DD45E3-E2EF-4646-BEB7-9B087542763E}"/>
    <cellStyle name="Normal 8 3 2 3 3 5" xfId="18363" xr:uid="{EF56E0B4-346E-4AE9-92EB-8A682C969DBC}"/>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029DDB33-5A44-4B7D-810A-37D1EA018C63}"/>
    <cellStyle name="Normal 8 3 2 3 4 2 2 3" xfId="25138" xr:uid="{0ADF0DA4-D8A6-4035-93BB-A9EB01B45C77}"/>
    <cellStyle name="Normal 8 3 2 3 4 2 3" xfId="12480" xr:uid="{BF4B37D5-38CA-451A-8FC2-003C2D078E1E}"/>
    <cellStyle name="Normal 8 3 2 3 4 2 4" xfId="20921" xr:uid="{37DE6E8D-E82E-4167-899C-F367A3BB787E}"/>
    <cellStyle name="Normal 8 3 2 3 4 3" xfId="6103" xr:uid="{00000000-0005-0000-0000-0000661D0000}"/>
    <cellStyle name="Normal 8 3 2 3 4 3 2" xfId="14553" xr:uid="{82289BB0-B091-4D79-A5A1-38DF4E040CD3}"/>
    <cellStyle name="Normal 8 3 2 3 4 3 3" xfId="22993" xr:uid="{055CE8E5-F012-48E0-AAF7-B36FCAA555B9}"/>
    <cellStyle name="Normal 8 3 2 3 4 4" xfId="10335" xr:uid="{C32AFAB6-70EF-4AF2-9D14-6BE2F53B3E42}"/>
    <cellStyle name="Normal 8 3 2 3 4 5" xfId="18776" xr:uid="{EB8DE3AE-2F9C-40EA-AF96-43A508F49CF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F742570D-E839-491D-BAE7-4B65574BBBA3}"/>
    <cellStyle name="Normal 8 3 2 3 5 2 2 3" xfId="25551" xr:uid="{F4B3E740-9B98-4D1E-9742-5D3367045B69}"/>
    <cellStyle name="Normal 8 3 2 3 5 2 3" xfId="12893" xr:uid="{863E9083-37C6-43FD-9CE7-5CEB8A037E89}"/>
    <cellStyle name="Normal 8 3 2 3 5 2 4" xfId="21334" xr:uid="{11148C1C-99C9-45C3-BE4E-4F03829B9C10}"/>
    <cellStyle name="Normal 8 3 2 3 5 3" xfId="6516" xr:uid="{00000000-0005-0000-0000-00006A1D0000}"/>
    <cellStyle name="Normal 8 3 2 3 5 3 2" xfId="14966" xr:uid="{24C90235-B887-4EDC-ABD7-B1B54D48C15B}"/>
    <cellStyle name="Normal 8 3 2 3 5 3 3" xfId="23406" xr:uid="{ECA410E2-912B-4909-8684-FB636FDF5CB4}"/>
    <cellStyle name="Normal 8 3 2 3 5 4" xfId="10748" xr:uid="{84705B54-48FA-4297-9C36-3142E55E0E3A}"/>
    <cellStyle name="Normal 8 3 2 3 5 5" xfId="19189" xr:uid="{55B2BE8E-F575-423B-B040-64C22043B2B0}"/>
    <cellStyle name="Normal 8 3 2 3 6" xfId="2646" xr:uid="{00000000-0005-0000-0000-00006B1D0000}"/>
    <cellStyle name="Normal 8 3 2 3 6 2" xfId="6929" xr:uid="{00000000-0005-0000-0000-00006C1D0000}"/>
    <cellStyle name="Normal 8 3 2 3 6 2 2" xfId="15379" xr:uid="{686ECE6C-4D13-46C7-9C9F-737DB80A9EC8}"/>
    <cellStyle name="Normal 8 3 2 3 6 2 3" xfId="23819" xr:uid="{14BD7A6B-5C49-4504-B926-7BFE331D9748}"/>
    <cellStyle name="Normal 8 3 2 3 6 3" xfId="11161" xr:uid="{FF708C42-6B66-4E9C-BDDC-B6EC0E163B4C}"/>
    <cellStyle name="Normal 8 3 2 3 6 4" xfId="19602" xr:uid="{76C83AE4-7DA6-4009-8D64-8495826DBCE8}"/>
    <cellStyle name="Normal 8 3 2 3 7" xfId="4864" xr:uid="{00000000-0005-0000-0000-00006D1D0000}"/>
    <cellStyle name="Normal 8 3 2 3 7 2" xfId="13314" xr:uid="{C7C6A3F6-1909-4B18-8C91-DC47BB4BCE92}"/>
    <cellStyle name="Normal 8 3 2 3 7 3" xfId="21754" xr:uid="{05192EF9-3524-42F1-B287-9050C1F4B153}"/>
    <cellStyle name="Normal 8 3 2 3 8" xfId="9096" xr:uid="{D09D0B12-9944-48F0-A7C0-E78310350B08}"/>
    <cellStyle name="Normal 8 3 2 3 9" xfId="17537" xr:uid="{4FFA0202-419C-41B9-9B93-402EE93044C4}"/>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EB6A5132-A029-41B1-B745-F646ECBD02CE}"/>
    <cellStyle name="Normal 8 3 2 4 2 2 3" xfId="24309" xr:uid="{D69223AE-03BD-47CD-9C9B-78EB16A8F3E4}"/>
    <cellStyle name="Normal 8 3 2 4 2 3" xfId="11651" xr:uid="{6BAA10FA-C38F-465F-A7C6-3C1B311E9BDF}"/>
    <cellStyle name="Normal 8 3 2 4 2 4" xfId="20092" xr:uid="{09A5A763-0FEC-4368-9D84-F0EA06727F35}"/>
    <cellStyle name="Normal 8 3 2 4 3" xfId="5274" xr:uid="{00000000-0005-0000-0000-0000711D0000}"/>
    <cellStyle name="Normal 8 3 2 4 3 2" xfId="13724" xr:uid="{4B86B6D2-9972-4442-A8BE-32512DF72479}"/>
    <cellStyle name="Normal 8 3 2 4 3 3" xfId="22164" xr:uid="{8B331EE4-254E-4E1B-84C7-D9FC932248EF}"/>
    <cellStyle name="Normal 8 3 2 4 4" xfId="9506" xr:uid="{CA88E1C0-E3A6-4EE8-A766-76D733F0CCDC}"/>
    <cellStyle name="Normal 8 3 2 4 5" xfId="17947" xr:uid="{556781BC-D680-4630-B474-20A727138481}"/>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625888B0-4595-475A-BCC0-7F314174FCA0}"/>
    <cellStyle name="Normal 8 3 2 5 2 2 3" xfId="24722" xr:uid="{11DEEC3F-474F-4598-93B1-FE82E364A5CC}"/>
    <cellStyle name="Normal 8 3 2 5 2 3" xfId="12064" xr:uid="{D2AB27B6-621B-496D-800F-9B91F6184B39}"/>
    <cellStyle name="Normal 8 3 2 5 2 4" xfId="20505" xr:uid="{552F37EF-890C-433A-9343-4FEC8230D5A2}"/>
    <cellStyle name="Normal 8 3 2 5 3" xfId="5687" xr:uid="{00000000-0005-0000-0000-0000751D0000}"/>
    <cellStyle name="Normal 8 3 2 5 3 2" xfId="14137" xr:uid="{8850652C-7A07-4A70-B76F-0C76AFE4DA38}"/>
    <cellStyle name="Normal 8 3 2 5 3 3" xfId="22577" xr:uid="{FF5B3882-BDCC-457E-ACC4-7B0FCEDE07B4}"/>
    <cellStyle name="Normal 8 3 2 5 4" xfId="9919" xr:uid="{2CD3F8B6-9A32-47B4-A60B-3370E5E90650}"/>
    <cellStyle name="Normal 8 3 2 5 5" xfId="18360" xr:uid="{E7C6E4AB-C621-4E53-9758-840F808827A8}"/>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33DD7C08-2174-4BED-BB86-8BB72CCBFFB4}"/>
    <cellStyle name="Normal 8 3 2 6 2 2 3" xfId="25135" xr:uid="{C588641D-23CA-4767-9695-F4323F07F557}"/>
    <cellStyle name="Normal 8 3 2 6 2 3" xfId="12477" xr:uid="{CE53C70E-A787-46CD-B4F1-79059EE923D8}"/>
    <cellStyle name="Normal 8 3 2 6 2 4" xfId="20918" xr:uid="{2D28B30A-1B85-4363-B696-AAAADB99407A}"/>
    <cellStyle name="Normal 8 3 2 6 3" xfId="6100" xr:uid="{00000000-0005-0000-0000-0000791D0000}"/>
    <cellStyle name="Normal 8 3 2 6 3 2" xfId="14550" xr:uid="{B4D2767F-25A0-4B73-BB6F-F8EEAC1BD56D}"/>
    <cellStyle name="Normal 8 3 2 6 3 3" xfId="22990" xr:uid="{9EBB8992-01B6-4D6E-8EB1-96DEAFF2E803}"/>
    <cellStyle name="Normal 8 3 2 6 4" xfId="10332" xr:uid="{9CBE3D4B-07F8-4CEC-9505-0B15FA9974FE}"/>
    <cellStyle name="Normal 8 3 2 6 5" xfId="18773" xr:uid="{C4631BE2-3A6A-4115-8014-B02E470571CF}"/>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7DC63A1F-AFE5-4C52-8870-9E125A85FD53}"/>
    <cellStyle name="Normal 8 3 2 7 2 2 3" xfId="25548" xr:uid="{F4857A62-41F3-4465-9D02-27FDB7F04C9F}"/>
    <cellStyle name="Normal 8 3 2 7 2 3" xfId="12890" xr:uid="{0C05DCF2-9F76-41A0-A8B2-7AAB4794F628}"/>
    <cellStyle name="Normal 8 3 2 7 2 4" xfId="21331" xr:uid="{0E85768C-E510-4944-8CD7-7D5FCF83A123}"/>
    <cellStyle name="Normal 8 3 2 7 3" xfId="6513" xr:uid="{00000000-0005-0000-0000-00007D1D0000}"/>
    <cellStyle name="Normal 8 3 2 7 3 2" xfId="14963" xr:uid="{55292F9B-66EF-4520-AADE-EA34CA44A670}"/>
    <cellStyle name="Normal 8 3 2 7 3 3" xfId="23403" xr:uid="{40821E06-E4DB-42BB-A92D-9269F91F0668}"/>
    <cellStyle name="Normal 8 3 2 7 4" xfId="10745" xr:uid="{6360FF24-62B7-4423-8099-E720A9EA2C62}"/>
    <cellStyle name="Normal 8 3 2 7 5" xfId="19186" xr:uid="{30E073B3-9DE6-4BEA-9237-3ED117736C9A}"/>
    <cellStyle name="Normal 8 3 2 8" xfId="2643" xr:uid="{00000000-0005-0000-0000-00007E1D0000}"/>
    <cellStyle name="Normal 8 3 2 8 2" xfId="6926" xr:uid="{00000000-0005-0000-0000-00007F1D0000}"/>
    <cellStyle name="Normal 8 3 2 8 2 2" xfId="15376" xr:uid="{304EF154-7AEA-43A0-ABFC-4B7ACD442EF7}"/>
    <cellStyle name="Normal 8 3 2 8 2 3" xfId="23816" xr:uid="{1019AA95-7A30-478E-B1D2-B0AC1BFF320B}"/>
    <cellStyle name="Normal 8 3 2 8 3" xfId="11158" xr:uid="{82206200-7233-413D-99AA-7135E3B46097}"/>
    <cellStyle name="Normal 8 3 2 8 4" xfId="19599" xr:uid="{0B7DC8DB-38E6-432C-BD41-EDB7C73830D4}"/>
    <cellStyle name="Normal 8 3 2 9" xfId="4861" xr:uid="{00000000-0005-0000-0000-0000801D0000}"/>
    <cellStyle name="Normal 8 3 2 9 2" xfId="13311" xr:uid="{030FFD8E-D83A-4036-8254-78A1D3523FA6}"/>
    <cellStyle name="Normal 8 3 2 9 3" xfId="21751" xr:uid="{17422354-BF75-4325-BEBD-E49AE2FEE6FD}"/>
    <cellStyle name="Normal 8 3 3" xfId="500" xr:uid="{00000000-0005-0000-0000-0000811D0000}"/>
    <cellStyle name="Normal 8 3 3 10" xfId="17538" xr:uid="{9127630C-6EE7-4A8A-B9A8-038563A7A018}"/>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27D10C00-AF3D-4538-AC58-25DC1E45791E}"/>
    <cellStyle name="Normal 8 3 3 2 2 2 2 3" xfId="24314" xr:uid="{125BAC67-9554-46F7-9BBF-492096557000}"/>
    <cellStyle name="Normal 8 3 3 2 2 2 3" xfId="11656" xr:uid="{6105D50C-87E5-454C-921D-636F675E543D}"/>
    <cellStyle name="Normal 8 3 3 2 2 2 4" xfId="20097" xr:uid="{5739AB4F-D570-4829-B80C-BB27BE693E68}"/>
    <cellStyle name="Normal 8 3 3 2 2 3" xfId="5279" xr:uid="{00000000-0005-0000-0000-0000861D0000}"/>
    <cellStyle name="Normal 8 3 3 2 2 3 2" xfId="13729" xr:uid="{DA6BD4F1-0003-4E5C-B76D-A69BFC17B2EE}"/>
    <cellStyle name="Normal 8 3 3 2 2 3 3" xfId="22169" xr:uid="{D6B26234-7E68-4A13-892A-F1D9453CB0C0}"/>
    <cellStyle name="Normal 8 3 3 2 2 4" xfId="9511" xr:uid="{27ACFA75-80DF-4264-B990-9A9D1F00B4C7}"/>
    <cellStyle name="Normal 8 3 3 2 2 5" xfId="17952" xr:uid="{729BCE71-E8BB-4EA3-8009-84FA50CCB6B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FC6D9191-4D03-4C4A-8183-6F0F0D0429E2}"/>
    <cellStyle name="Normal 8 3 3 2 3 2 2 3" xfId="24727" xr:uid="{4300DD1E-7901-4F46-90D3-7861D3FC6EC8}"/>
    <cellStyle name="Normal 8 3 3 2 3 2 3" xfId="12069" xr:uid="{DDD98EF4-4E94-41F9-BCE8-F4D28C7CA45F}"/>
    <cellStyle name="Normal 8 3 3 2 3 2 4" xfId="20510" xr:uid="{7ED6D7D4-675E-42DD-921B-EED6FD9B1590}"/>
    <cellStyle name="Normal 8 3 3 2 3 3" xfId="5692" xr:uid="{00000000-0005-0000-0000-00008A1D0000}"/>
    <cellStyle name="Normal 8 3 3 2 3 3 2" xfId="14142" xr:uid="{D2B1D360-DBEE-4BF1-B9A9-89C47C66E56A}"/>
    <cellStyle name="Normal 8 3 3 2 3 3 3" xfId="22582" xr:uid="{18C2ABFD-0ECC-44D2-982A-6B8D153BFF23}"/>
    <cellStyle name="Normal 8 3 3 2 3 4" xfId="9924" xr:uid="{4E2DB387-892D-4DDC-8C48-4CB4F5EAE186}"/>
    <cellStyle name="Normal 8 3 3 2 3 5" xfId="18365" xr:uid="{A11AEB29-E61F-48F1-B527-626DE7A82A37}"/>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1DEB1608-4619-4E88-9855-6BC5948B09CC}"/>
    <cellStyle name="Normal 8 3 3 2 4 2 2 3" xfId="25140" xr:uid="{56C5F3D5-B26A-4266-A57F-FCCFCB422B08}"/>
    <cellStyle name="Normal 8 3 3 2 4 2 3" xfId="12482" xr:uid="{25D534B8-41C2-4688-9C2A-2B27AF759CDB}"/>
    <cellStyle name="Normal 8 3 3 2 4 2 4" xfId="20923" xr:uid="{EB7B38C6-0058-47AB-8E03-CDBC7A829E56}"/>
    <cellStyle name="Normal 8 3 3 2 4 3" xfId="6105" xr:uid="{00000000-0005-0000-0000-00008E1D0000}"/>
    <cellStyle name="Normal 8 3 3 2 4 3 2" xfId="14555" xr:uid="{D18BCB2A-BC6C-48D5-A76E-E6B0818844BF}"/>
    <cellStyle name="Normal 8 3 3 2 4 3 3" xfId="22995" xr:uid="{A1E075C7-B585-436E-A731-56303C4CC9D4}"/>
    <cellStyle name="Normal 8 3 3 2 4 4" xfId="10337" xr:uid="{6DEE7A30-2E4F-4C6E-9D51-B054D161ABA6}"/>
    <cellStyle name="Normal 8 3 3 2 4 5" xfId="18778" xr:uid="{676438C8-CE5D-4657-8AD5-D3EC990D0BC5}"/>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80B42A89-DDB3-44FF-A9A9-D14005179718}"/>
    <cellStyle name="Normal 8 3 3 2 5 2 2 3" xfId="25553" xr:uid="{E55916B9-1974-4A5B-B32F-8243C12F2266}"/>
    <cellStyle name="Normal 8 3 3 2 5 2 3" xfId="12895" xr:uid="{43939E74-F5A0-4B8E-B850-C39A2D8F1FD2}"/>
    <cellStyle name="Normal 8 3 3 2 5 2 4" xfId="21336" xr:uid="{324B2C15-F81A-4F62-AE4B-6DBBAF7F1621}"/>
    <cellStyle name="Normal 8 3 3 2 5 3" xfId="6518" xr:uid="{00000000-0005-0000-0000-0000921D0000}"/>
    <cellStyle name="Normal 8 3 3 2 5 3 2" xfId="14968" xr:uid="{AC90E7EC-59AD-45CD-A4B5-FDFD7BB4F57D}"/>
    <cellStyle name="Normal 8 3 3 2 5 3 3" xfId="23408" xr:uid="{A2BEBBCD-D5EC-4796-9EB0-B425F10E5CFD}"/>
    <cellStyle name="Normal 8 3 3 2 5 4" xfId="10750" xr:uid="{9FCDD02B-6B53-4977-90B1-55BE5B91C445}"/>
    <cellStyle name="Normal 8 3 3 2 5 5" xfId="19191" xr:uid="{81FF7440-FEB2-4374-A381-D969A9923CD6}"/>
    <cellStyle name="Normal 8 3 3 2 6" xfId="2648" xr:uid="{00000000-0005-0000-0000-0000931D0000}"/>
    <cellStyle name="Normal 8 3 3 2 6 2" xfId="6931" xr:uid="{00000000-0005-0000-0000-0000941D0000}"/>
    <cellStyle name="Normal 8 3 3 2 6 2 2" xfId="15381" xr:uid="{C4251B8E-E5E4-45E8-B425-99F261E284C6}"/>
    <cellStyle name="Normal 8 3 3 2 6 2 3" xfId="23821" xr:uid="{D6DD6DAF-7F86-4D2F-883E-529F8FDE3D18}"/>
    <cellStyle name="Normal 8 3 3 2 6 3" xfId="11163" xr:uid="{5D2D40D3-584A-43EB-A036-6D6C2281D867}"/>
    <cellStyle name="Normal 8 3 3 2 6 4" xfId="19604" xr:uid="{E1C9687C-E767-485A-8B84-4C4257040ADF}"/>
    <cellStyle name="Normal 8 3 3 2 7" xfId="4866" xr:uid="{00000000-0005-0000-0000-0000951D0000}"/>
    <cellStyle name="Normal 8 3 3 2 7 2" xfId="13316" xr:uid="{7B9CE633-7874-4D6A-93B2-6437A9544D21}"/>
    <cellStyle name="Normal 8 3 3 2 7 3" xfId="21756" xr:uid="{DADFC837-0A49-46E9-8982-AF4A232F2E92}"/>
    <cellStyle name="Normal 8 3 3 2 8" xfId="9098" xr:uid="{117F804D-8A66-4E17-B953-8B144BECD458}"/>
    <cellStyle name="Normal 8 3 3 2 9" xfId="17539" xr:uid="{236131AE-D7CF-4646-AC6C-AA4ED8BF66F3}"/>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F5F8076D-7A67-487C-9165-852232BBEEE5}"/>
    <cellStyle name="Normal 8 3 3 3 2 2 3" xfId="24313" xr:uid="{B865E481-2722-4B38-9248-A8C0E480B185}"/>
    <cellStyle name="Normal 8 3 3 3 2 3" xfId="11655" xr:uid="{D5B710A6-CFC7-441E-94FC-9B712378E651}"/>
    <cellStyle name="Normal 8 3 3 3 2 4" xfId="20096" xr:uid="{AC6AAAA8-D33C-46C4-B3BE-AA3A0FFF7C54}"/>
    <cellStyle name="Normal 8 3 3 3 3" xfId="5278" xr:uid="{00000000-0005-0000-0000-0000991D0000}"/>
    <cellStyle name="Normal 8 3 3 3 3 2" xfId="13728" xr:uid="{9D89A930-E7A2-406B-81FB-FD5CD4435BAE}"/>
    <cellStyle name="Normal 8 3 3 3 3 3" xfId="22168" xr:uid="{52E26F61-FBEC-492F-848F-1592FF65CB75}"/>
    <cellStyle name="Normal 8 3 3 3 4" xfId="9510" xr:uid="{62C05BC3-0F8F-4175-A70A-D884CEF16AD9}"/>
    <cellStyle name="Normal 8 3 3 3 5" xfId="17951" xr:uid="{7BECFB61-9DC6-410E-A7B2-51FAF3FBA998}"/>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8FC138AB-EAD6-4574-BABC-78A07F9AFD4F}"/>
    <cellStyle name="Normal 8 3 3 4 2 2 3" xfId="24726" xr:uid="{C3810F38-ED2D-411A-93DA-50BB0A74C3B2}"/>
    <cellStyle name="Normal 8 3 3 4 2 3" xfId="12068" xr:uid="{A592F27A-6E4E-440E-9D3E-8E9D01962A68}"/>
    <cellStyle name="Normal 8 3 3 4 2 4" xfId="20509" xr:uid="{9EB15217-1DF0-47CC-BFDC-5ED93725A99E}"/>
    <cellStyle name="Normal 8 3 3 4 3" xfId="5691" xr:uid="{00000000-0005-0000-0000-00009D1D0000}"/>
    <cellStyle name="Normal 8 3 3 4 3 2" xfId="14141" xr:uid="{3DD7E622-78E0-4766-994F-64D186D61D19}"/>
    <cellStyle name="Normal 8 3 3 4 3 3" xfId="22581" xr:uid="{10EDE93C-3ACF-47DC-A95D-C44F988C9AD6}"/>
    <cellStyle name="Normal 8 3 3 4 4" xfId="9923" xr:uid="{DBD16EB3-FA69-440D-AFB1-9BBD43F6F4B6}"/>
    <cellStyle name="Normal 8 3 3 4 5" xfId="18364" xr:uid="{009B1690-80E6-453F-A245-FAB940792889}"/>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B4C53F86-C89B-411A-A728-AB98E5F11F75}"/>
    <cellStyle name="Normal 8 3 3 5 2 2 3" xfId="25139" xr:uid="{DC73D297-E3BA-41DF-8BD1-BB7C14A8CE48}"/>
    <cellStyle name="Normal 8 3 3 5 2 3" xfId="12481" xr:uid="{B6A08AC5-1006-4C83-9657-DD7BA97E27E0}"/>
    <cellStyle name="Normal 8 3 3 5 2 4" xfId="20922" xr:uid="{14834A44-AB35-40A3-93CE-3CB9E3710F53}"/>
    <cellStyle name="Normal 8 3 3 5 3" xfId="6104" xr:uid="{00000000-0005-0000-0000-0000A11D0000}"/>
    <cellStyle name="Normal 8 3 3 5 3 2" xfId="14554" xr:uid="{FECD6A2D-E18D-4513-AEA2-FEB1EC33C7AF}"/>
    <cellStyle name="Normal 8 3 3 5 3 3" xfId="22994" xr:uid="{55253698-151F-448A-AF7B-2A5EC161DF6E}"/>
    <cellStyle name="Normal 8 3 3 5 4" xfId="10336" xr:uid="{933B436D-70C2-4C16-B8E2-F5BAECA7487C}"/>
    <cellStyle name="Normal 8 3 3 5 5" xfId="18777" xr:uid="{1501DDD3-B700-4500-BD1B-7B01CC9642D6}"/>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02C58950-26DE-4597-B745-8634D0BCF45B}"/>
    <cellStyle name="Normal 8 3 3 6 2 2 3" xfId="25552" xr:uid="{0C36BF00-0C18-42DF-B490-EC5AE8F65DA5}"/>
    <cellStyle name="Normal 8 3 3 6 2 3" xfId="12894" xr:uid="{0CFA4948-33FB-4952-9E67-6213D639554C}"/>
    <cellStyle name="Normal 8 3 3 6 2 4" xfId="21335" xr:uid="{B45EE688-3CBA-453A-9D21-2C11AAAD6697}"/>
    <cellStyle name="Normal 8 3 3 6 3" xfId="6517" xr:uid="{00000000-0005-0000-0000-0000A51D0000}"/>
    <cellStyle name="Normal 8 3 3 6 3 2" xfId="14967" xr:uid="{277DA8EA-09FF-4C2C-AEE6-2DB12396562D}"/>
    <cellStyle name="Normal 8 3 3 6 3 3" xfId="23407" xr:uid="{9F5B85E2-82A2-49FF-9C2F-08F02DAD895E}"/>
    <cellStyle name="Normal 8 3 3 6 4" xfId="10749" xr:uid="{5048E27C-9DEA-4C6A-85B0-08775F198D1A}"/>
    <cellStyle name="Normal 8 3 3 6 5" xfId="19190" xr:uid="{1BEF7F8A-466D-4A8E-A205-D2AFA1874290}"/>
    <cellStyle name="Normal 8 3 3 7" xfId="2647" xr:uid="{00000000-0005-0000-0000-0000A61D0000}"/>
    <cellStyle name="Normal 8 3 3 7 2" xfId="6930" xr:uid="{00000000-0005-0000-0000-0000A71D0000}"/>
    <cellStyle name="Normal 8 3 3 7 2 2" xfId="15380" xr:uid="{52C0F36B-42BD-413E-B9E9-DAA7EB95C2E2}"/>
    <cellStyle name="Normal 8 3 3 7 2 3" xfId="23820" xr:uid="{2911C5A9-4EA1-4B2F-8C70-71B4A7AC766F}"/>
    <cellStyle name="Normal 8 3 3 7 3" xfId="11162" xr:uid="{C961498A-1D76-4EE9-B3DE-0A33056745D3}"/>
    <cellStyle name="Normal 8 3 3 7 4" xfId="19603" xr:uid="{02BB41BD-27CF-40B1-BB1A-40437405AF9D}"/>
    <cellStyle name="Normal 8 3 3 8" xfId="4865" xr:uid="{00000000-0005-0000-0000-0000A81D0000}"/>
    <cellStyle name="Normal 8 3 3 8 2" xfId="13315" xr:uid="{229B7A5D-AFF8-46B9-A54A-1D0852CFF6D5}"/>
    <cellStyle name="Normal 8 3 3 8 3" xfId="21755" xr:uid="{0E199AB9-A5E2-4533-9BAC-A02D99499578}"/>
    <cellStyle name="Normal 8 3 3 9" xfId="9097" xr:uid="{5BB9181A-8EF6-4548-B62E-CE2629B4855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56EF98D0-8EF3-47FB-934E-AD1013F6D71A}"/>
    <cellStyle name="Normal 8 3 4 2 2 2 3" xfId="24315" xr:uid="{F1109828-DCDA-44D7-8307-FB1177132708}"/>
    <cellStyle name="Normal 8 3 4 2 2 3" xfId="11657" xr:uid="{44561450-BA5C-484B-9174-47062F21868A}"/>
    <cellStyle name="Normal 8 3 4 2 2 4" xfId="20098" xr:uid="{80324358-291D-4AE7-9068-FF1605509085}"/>
    <cellStyle name="Normal 8 3 4 2 3" xfId="5280" xr:uid="{00000000-0005-0000-0000-0000AD1D0000}"/>
    <cellStyle name="Normal 8 3 4 2 3 2" xfId="13730" xr:uid="{9FA722D6-05F8-472E-9836-9062AEE7ADE5}"/>
    <cellStyle name="Normal 8 3 4 2 3 3" xfId="22170" xr:uid="{8079AA07-BB53-4696-BB52-5224232A93B6}"/>
    <cellStyle name="Normal 8 3 4 2 4" xfId="9512" xr:uid="{B6EBA9CE-3D4B-4245-9339-3266C4607127}"/>
    <cellStyle name="Normal 8 3 4 2 5" xfId="17953" xr:uid="{A2E35804-1D9A-4BEE-B937-1DA93045671E}"/>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DC061273-E601-467A-8D1E-A7337632CF55}"/>
    <cellStyle name="Normal 8 3 4 3 2 2 3" xfId="24728" xr:uid="{BB80B27D-E96D-4FE9-92AB-889A87782ED7}"/>
    <cellStyle name="Normal 8 3 4 3 2 3" xfId="12070" xr:uid="{8797CA18-F282-47FC-BE56-6528658901A2}"/>
    <cellStyle name="Normal 8 3 4 3 2 4" xfId="20511" xr:uid="{13E13B63-96F0-4297-8CBC-2A9898F2948D}"/>
    <cellStyle name="Normal 8 3 4 3 3" xfId="5693" xr:uid="{00000000-0005-0000-0000-0000B11D0000}"/>
    <cellStyle name="Normal 8 3 4 3 3 2" xfId="14143" xr:uid="{AD0935F7-C25D-4F11-8043-2F5859B5C39F}"/>
    <cellStyle name="Normal 8 3 4 3 3 3" xfId="22583" xr:uid="{53FF7588-8F6F-4FB2-8940-93B74D0B3399}"/>
    <cellStyle name="Normal 8 3 4 3 4" xfId="9925" xr:uid="{AA61DB33-F1E1-4DAF-9256-9B1FBF47B924}"/>
    <cellStyle name="Normal 8 3 4 3 5" xfId="18366" xr:uid="{950835D1-8578-4E96-B78B-83130769E3C7}"/>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0C29D426-AAAB-4765-8B80-5BB761060617}"/>
    <cellStyle name="Normal 8 3 4 4 2 2 3" xfId="25141" xr:uid="{5FFDAEEE-CFA0-464E-B2FF-51C8501EBDBB}"/>
    <cellStyle name="Normal 8 3 4 4 2 3" xfId="12483" xr:uid="{D3861215-149C-44C3-8C14-2C02490CE115}"/>
    <cellStyle name="Normal 8 3 4 4 2 4" xfId="20924" xr:uid="{0544BFEE-2255-42B0-B290-DF37295484E2}"/>
    <cellStyle name="Normal 8 3 4 4 3" xfId="6106" xr:uid="{00000000-0005-0000-0000-0000B51D0000}"/>
    <cellStyle name="Normal 8 3 4 4 3 2" xfId="14556" xr:uid="{633C00FD-CE96-4BF4-9915-B80DA9486770}"/>
    <cellStyle name="Normal 8 3 4 4 3 3" xfId="22996" xr:uid="{77FA828A-8DB0-4A3F-8F30-CC9E5EC23848}"/>
    <cellStyle name="Normal 8 3 4 4 4" xfId="10338" xr:uid="{44AE74BF-7F8A-4B9C-AB18-78798188F918}"/>
    <cellStyle name="Normal 8 3 4 4 5" xfId="18779" xr:uid="{5D75D608-E449-4CF2-9474-80774A7DC1E8}"/>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B35A56F7-E43B-4DC5-BF20-8712CD5ED29F}"/>
    <cellStyle name="Normal 8 3 4 5 2 2 3" xfId="25554" xr:uid="{BF66D929-3456-4654-9349-35C529110F79}"/>
    <cellStyle name="Normal 8 3 4 5 2 3" xfId="12896" xr:uid="{A428D44C-2CB6-493D-B492-0E5B9209F5C5}"/>
    <cellStyle name="Normal 8 3 4 5 2 4" xfId="21337" xr:uid="{D9477FB6-F7B1-4DBF-A4EA-BECE1B988600}"/>
    <cellStyle name="Normal 8 3 4 5 3" xfId="6519" xr:uid="{00000000-0005-0000-0000-0000B91D0000}"/>
    <cellStyle name="Normal 8 3 4 5 3 2" xfId="14969" xr:uid="{6D3199C6-4D17-4E42-A774-217FBBE3903B}"/>
    <cellStyle name="Normal 8 3 4 5 3 3" xfId="23409" xr:uid="{294616B7-6A6C-4FA9-AEFE-98C8BA49181A}"/>
    <cellStyle name="Normal 8 3 4 5 4" xfId="10751" xr:uid="{04C834D1-47E7-42E9-A142-E6660A1F6D41}"/>
    <cellStyle name="Normal 8 3 4 5 5" xfId="19192" xr:uid="{1DE7EC7F-82E6-4F98-91D4-91653B982F56}"/>
    <cellStyle name="Normal 8 3 4 6" xfId="2649" xr:uid="{00000000-0005-0000-0000-0000BA1D0000}"/>
    <cellStyle name="Normal 8 3 4 6 2" xfId="6932" xr:uid="{00000000-0005-0000-0000-0000BB1D0000}"/>
    <cellStyle name="Normal 8 3 4 6 2 2" xfId="15382" xr:uid="{91062708-4819-45D6-A169-0801A1C5597B}"/>
    <cellStyle name="Normal 8 3 4 6 2 3" xfId="23822" xr:uid="{A12F258C-109B-4343-BED7-8309776F9C91}"/>
    <cellStyle name="Normal 8 3 4 6 3" xfId="11164" xr:uid="{755DE329-9166-44FF-8C3B-E447E43A33AF}"/>
    <cellStyle name="Normal 8 3 4 6 4" xfId="19605" xr:uid="{57E320C0-1D85-4E7D-8BB7-40380D010E13}"/>
    <cellStyle name="Normal 8 3 4 7" xfId="4867" xr:uid="{00000000-0005-0000-0000-0000BC1D0000}"/>
    <cellStyle name="Normal 8 3 4 7 2" xfId="13317" xr:uid="{D19CC19D-EB0F-410A-86D8-6AC820D39FD7}"/>
    <cellStyle name="Normal 8 3 4 7 3" xfId="21757" xr:uid="{9DC34A2E-5D90-4100-8AF1-52A9CD5676D0}"/>
    <cellStyle name="Normal 8 3 4 8" xfId="9099" xr:uid="{8AE5FEA9-76FA-411F-903F-4C3D598083EC}"/>
    <cellStyle name="Normal 8 3 4 9" xfId="17540" xr:uid="{6678AE4A-4A70-4812-AD84-F8AA91D98471}"/>
    <cellStyle name="Normal 8 3 5" xfId="962" xr:uid="{00000000-0005-0000-0000-0000BD1D0000}"/>
    <cellStyle name="Normal 8 3 5 2" xfId="3196" xr:uid="{00000000-0005-0000-0000-0000BE1D0000}"/>
    <cellStyle name="Normal 8 3 5 2 2" xfId="7418" xr:uid="{00000000-0005-0000-0000-0000BF1D0000}"/>
    <cellStyle name="Normal 8 3 5 2 2 2" xfId="15868" xr:uid="{63D89239-1309-416D-AAFF-B74B3C76ED53}"/>
    <cellStyle name="Normal 8 3 5 2 2 3" xfId="24308" xr:uid="{2C079B1D-182A-4270-A128-8D8AF13D0009}"/>
    <cellStyle name="Normal 8 3 5 2 3" xfId="11650" xr:uid="{AB3BD814-3499-4163-B60B-CFEF9A0FC8E9}"/>
    <cellStyle name="Normal 8 3 5 2 4" xfId="20091" xr:uid="{817B32EF-AC59-424C-B80F-F5C73FD8CBDD}"/>
    <cellStyle name="Normal 8 3 5 3" xfId="5273" xr:uid="{00000000-0005-0000-0000-0000C01D0000}"/>
    <cellStyle name="Normal 8 3 5 3 2" xfId="13723" xr:uid="{0032EAEC-AC8B-4D42-9934-E1949382657C}"/>
    <cellStyle name="Normal 8 3 5 3 3" xfId="22163" xr:uid="{1B875555-EB8C-4C15-BA2D-0DE169ABED41}"/>
    <cellStyle name="Normal 8 3 5 4" xfId="9505" xr:uid="{BC334DB9-9E38-4175-B6A2-76FF3A2A3671}"/>
    <cellStyle name="Normal 8 3 5 5" xfId="17946" xr:uid="{7AB85FBF-7DFB-4745-8E2D-6C38D4676BFD}"/>
    <cellStyle name="Normal 8 3 6" xfId="1379" xr:uid="{00000000-0005-0000-0000-0000C11D0000}"/>
    <cellStyle name="Normal 8 3 6 2" xfId="3609" xr:uid="{00000000-0005-0000-0000-0000C21D0000}"/>
    <cellStyle name="Normal 8 3 6 2 2" xfId="7831" xr:uid="{00000000-0005-0000-0000-0000C31D0000}"/>
    <cellStyle name="Normal 8 3 6 2 2 2" xfId="16281" xr:uid="{9C04D639-55EB-4B8F-B57D-39A1746F4E2C}"/>
    <cellStyle name="Normal 8 3 6 2 2 3" xfId="24721" xr:uid="{BA02BB73-E593-4974-9E68-64F6B076E7E7}"/>
    <cellStyle name="Normal 8 3 6 2 3" xfId="12063" xr:uid="{F1FC9A72-469F-4954-ABE3-CB76A96136EF}"/>
    <cellStyle name="Normal 8 3 6 2 4" xfId="20504" xr:uid="{10477E7A-AE23-4A9F-A00F-F6B74DEB18F3}"/>
    <cellStyle name="Normal 8 3 6 3" xfId="5686" xr:uid="{00000000-0005-0000-0000-0000C41D0000}"/>
    <cellStyle name="Normal 8 3 6 3 2" xfId="14136" xr:uid="{4A701134-75F6-4B43-9F0F-75718EF3868A}"/>
    <cellStyle name="Normal 8 3 6 3 3" xfId="22576" xr:uid="{DE8ECAF3-1A76-47A5-97F3-BD32BC509E81}"/>
    <cellStyle name="Normal 8 3 6 4" xfId="9918" xr:uid="{B13EE9A4-B19D-425D-B9B3-EEC065258065}"/>
    <cellStyle name="Normal 8 3 6 5" xfId="18359" xr:uid="{3D916A13-6842-4E0E-99E4-E699B649885E}"/>
    <cellStyle name="Normal 8 3 7" xfId="1792" xr:uid="{00000000-0005-0000-0000-0000C51D0000}"/>
    <cellStyle name="Normal 8 3 7 2" xfId="4022" xr:uid="{00000000-0005-0000-0000-0000C61D0000}"/>
    <cellStyle name="Normal 8 3 7 2 2" xfId="8244" xr:uid="{00000000-0005-0000-0000-0000C71D0000}"/>
    <cellStyle name="Normal 8 3 7 2 2 2" xfId="16694" xr:uid="{1178C984-7E1E-436B-9B43-74134507F81F}"/>
    <cellStyle name="Normal 8 3 7 2 2 3" xfId="25134" xr:uid="{E621BABF-1AB2-4778-911F-AF968190DCE8}"/>
    <cellStyle name="Normal 8 3 7 2 3" xfId="12476" xr:uid="{BDE2FB2B-08D0-41E2-A475-DE541F9B5C18}"/>
    <cellStyle name="Normal 8 3 7 2 4" xfId="20917" xr:uid="{D8A9E091-5E18-4F34-83DC-D38FECDCF98A}"/>
    <cellStyle name="Normal 8 3 7 3" xfId="6099" xr:uid="{00000000-0005-0000-0000-0000C81D0000}"/>
    <cellStyle name="Normal 8 3 7 3 2" xfId="14549" xr:uid="{E49DF634-A40F-48A8-A4ED-F48274F15D4D}"/>
    <cellStyle name="Normal 8 3 7 3 3" xfId="22989" xr:uid="{76D73130-7D8D-4693-84F7-671B1264E4C7}"/>
    <cellStyle name="Normal 8 3 7 4" xfId="10331" xr:uid="{76D1A2D2-351E-4088-99F2-8A087851919A}"/>
    <cellStyle name="Normal 8 3 7 5" xfId="18772" xr:uid="{16784A77-FB5A-42CA-9334-ED4475DB6C7F}"/>
    <cellStyle name="Normal 8 3 8" xfId="2206" xr:uid="{00000000-0005-0000-0000-0000C91D0000}"/>
    <cellStyle name="Normal 8 3 8 2" xfId="4435" xr:uid="{00000000-0005-0000-0000-0000CA1D0000}"/>
    <cellStyle name="Normal 8 3 8 2 2" xfId="8657" xr:uid="{00000000-0005-0000-0000-0000CB1D0000}"/>
    <cellStyle name="Normal 8 3 8 2 2 2" xfId="17107" xr:uid="{8D1A9DCF-470E-4F31-BE9F-EDD7FE435D94}"/>
    <cellStyle name="Normal 8 3 8 2 2 3" xfId="25547" xr:uid="{B79EC4FC-EE07-408C-9DDE-625DEC2EF974}"/>
    <cellStyle name="Normal 8 3 8 2 3" xfId="12889" xr:uid="{F1E3C45B-B3CC-47CE-B3D9-38122EC7811B}"/>
    <cellStyle name="Normal 8 3 8 2 4" xfId="21330" xr:uid="{CA0D7011-0A2B-44B7-B64C-349EB1693273}"/>
    <cellStyle name="Normal 8 3 8 3" xfId="6512" xr:uid="{00000000-0005-0000-0000-0000CC1D0000}"/>
    <cellStyle name="Normal 8 3 8 3 2" xfId="14962" xr:uid="{88A7C9EA-A319-424E-B49E-B989B0AA030B}"/>
    <cellStyle name="Normal 8 3 8 3 3" xfId="23402" xr:uid="{538AAF51-D564-411E-ABC4-C7C4020CB89D}"/>
    <cellStyle name="Normal 8 3 8 4" xfId="10744" xr:uid="{00D06787-C571-4EDF-8FCD-300C8B6D3113}"/>
    <cellStyle name="Normal 8 3 8 5" xfId="19185" xr:uid="{5D8F7E17-0921-43E6-A89D-DF94881C4641}"/>
    <cellStyle name="Normal 8 3 9" xfId="2642" xr:uid="{00000000-0005-0000-0000-0000CD1D0000}"/>
    <cellStyle name="Normal 8 3 9 2" xfId="6925" xr:uid="{00000000-0005-0000-0000-0000CE1D0000}"/>
    <cellStyle name="Normal 8 3 9 2 2" xfId="15375" xr:uid="{A50B2B74-D4B7-4DA3-BCE5-381EF0B3EB40}"/>
    <cellStyle name="Normal 8 3 9 2 3" xfId="23815" xr:uid="{94A00A3A-AD38-43FF-A1B0-4A6FC4628D67}"/>
    <cellStyle name="Normal 8 3 9 3" xfId="11157" xr:uid="{8CE4CB08-BB46-4B56-B41A-8CFE8043E8D7}"/>
    <cellStyle name="Normal 8 3 9 4" xfId="19598" xr:uid="{475930F6-9A72-4C0A-95BB-5E3D4A797ACB}"/>
    <cellStyle name="Normal 8 4" xfId="503" xr:uid="{00000000-0005-0000-0000-0000CF1D0000}"/>
    <cellStyle name="Normal 8 4 10" xfId="9100" xr:uid="{EA901C37-5FE9-4A3B-9B55-89BCAE2B0F30}"/>
    <cellStyle name="Normal 8 4 11" xfId="17541" xr:uid="{FA0A4C4D-5C29-4F7E-81D2-086DEEBE8DA5}"/>
    <cellStyle name="Normal 8 4 2" xfId="504" xr:uid="{00000000-0005-0000-0000-0000D01D0000}"/>
    <cellStyle name="Normal 8 4 2 10" xfId="17542" xr:uid="{58DABD5A-EFC7-42B0-86BC-6527BB0B41C9}"/>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39C14EA5-CD0A-4F7F-87DE-5B7A9DFAEAE5}"/>
    <cellStyle name="Normal 8 4 2 2 2 2 2 3" xfId="24318" xr:uid="{300F2D30-1632-406B-9883-AE45F2D38860}"/>
    <cellStyle name="Normal 8 4 2 2 2 2 3" xfId="11660" xr:uid="{356E8E70-E511-486D-A63E-8B5E3B6BEF30}"/>
    <cellStyle name="Normal 8 4 2 2 2 2 4" xfId="20101" xr:uid="{F9180BA1-F369-4EAB-9F7F-8BFDFFBE3AC1}"/>
    <cellStyle name="Normal 8 4 2 2 2 3" xfId="5283" xr:uid="{00000000-0005-0000-0000-0000D51D0000}"/>
    <cellStyle name="Normal 8 4 2 2 2 3 2" xfId="13733" xr:uid="{AB55C8E0-C93E-400A-ACD4-A7243806F5D2}"/>
    <cellStyle name="Normal 8 4 2 2 2 3 3" xfId="22173" xr:uid="{C96B3203-9F46-4A93-B747-86785D9ABFC9}"/>
    <cellStyle name="Normal 8 4 2 2 2 4" xfId="9515" xr:uid="{DC4D55C2-1CB6-4D39-8EC9-2B89FA98D246}"/>
    <cellStyle name="Normal 8 4 2 2 2 5" xfId="17956" xr:uid="{72F40CE2-2AEF-4469-BEBE-026CF37A72C1}"/>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7667B7F7-D1A9-46F0-B68A-01FB4E01F72A}"/>
    <cellStyle name="Normal 8 4 2 2 3 2 2 3" xfId="24731" xr:uid="{FBDD38FF-B2AC-42B2-A465-6377892A2D2D}"/>
    <cellStyle name="Normal 8 4 2 2 3 2 3" xfId="12073" xr:uid="{EFF688BE-C63B-4E67-BEFC-754623B7D4C1}"/>
    <cellStyle name="Normal 8 4 2 2 3 2 4" xfId="20514" xr:uid="{EEFB8D01-7AEB-4BA5-A2D2-6DCD56A98DA0}"/>
    <cellStyle name="Normal 8 4 2 2 3 3" xfId="5696" xr:uid="{00000000-0005-0000-0000-0000D91D0000}"/>
    <cellStyle name="Normal 8 4 2 2 3 3 2" xfId="14146" xr:uid="{57B4648D-A31F-4328-BA92-BF83FC2B13EA}"/>
    <cellStyle name="Normal 8 4 2 2 3 3 3" xfId="22586" xr:uid="{AC90D828-0B77-4B84-A185-4E30413C432C}"/>
    <cellStyle name="Normal 8 4 2 2 3 4" xfId="9928" xr:uid="{37700237-5B85-4977-A962-B7A5A51DF953}"/>
    <cellStyle name="Normal 8 4 2 2 3 5" xfId="18369" xr:uid="{D0A9FE8F-27D0-4318-AE17-17C0C4D2EC16}"/>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B3EF3695-1C46-4554-9C5C-2B327EA5002C}"/>
    <cellStyle name="Normal 8 4 2 2 4 2 2 3" xfId="25144" xr:uid="{38A962B0-951F-4890-82E7-AF9211B805D0}"/>
    <cellStyle name="Normal 8 4 2 2 4 2 3" xfId="12486" xr:uid="{BEC8DFCF-2C67-4F54-A666-502E9E67FE87}"/>
    <cellStyle name="Normal 8 4 2 2 4 2 4" xfId="20927" xr:uid="{4ABFDF99-FFFC-4AE5-9769-505E072B2727}"/>
    <cellStyle name="Normal 8 4 2 2 4 3" xfId="6109" xr:uid="{00000000-0005-0000-0000-0000DD1D0000}"/>
    <cellStyle name="Normal 8 4 2 2 4 3 2" xfId="14559" xr:uid="{499973EE-827D-48FB-8BB8-A8276B42E9EA}"/>
    <cellStyle name="Normal 8 4 2 2 4 3 3" xfId="22999" xr:uid="{E7BF2041-9429-454A-AAF7-0FACD21C4561}"/>
    <cellStyle name="Normal 8 4 2 2 4 4" xfId="10341" xr:uid="{82C407CD-B8AC-40C3-B7B3-18C821A107C8}"/>
    <cellStyle name="Normal 8 4 2 2 4 5" xfId="18782" xr:uid="{03A59C8C-EE56-43E6-AF3E-1EB843C04C57}"/>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31114C69-B8C4-4A38-8D8F-F07A84E5D8B0}"/>
    <cellStyle name="Normal 8 4 2 2 5 2 2 3" xfId="25557" xr:uid="{813445BE-CC77-4076-91B7-3693524093D1}"/>
    <cellStyle name="Normal 8 4 2 2 5 2 3" xfId="12899" xr:uid="{59FD31F5-13CB-459B-BC94-DD046498ECE9}"/>
    <cellStyle name="Normal 8 4 2 2 5 2 4" xfId="21340" xr:uid="{777B9B0F-BE7F-4A3C-889D-14C61504E1F9}"/>
    <cellStyle name="Normal 8 4 2 2 5 3" xfId="6522" xr:uid="{00000000-0005-0000-0000-0000E11D0000}"/>
    <cellStyle name="Normal 8 4 2 2 5 3 2" xfId="14972" xr:uid="{88B4CDC1-F968-4C00-9A43-28D7496003CA}"/>
    <cellStyle name="Normal 8 4 2 2 5 3 3" xfId="23412" xr:uid="{744D7C9D-8293-440E-BFF4-FC87107C969D}"/>
    <cellStyle name="Normal 8 4 2 2 5 4" xfId="10754" xr:uid="{B005FCAB-1E10-4B1B-BDC2-E97C620A02F6}"/>
    <cellStyle name="Normal 8 4 2 2 5 5" xfId="19195" xr:uid="{C3F34E3E-2E1C-4093-9F3D-A55CAF682234}"/>
    <cellStyle name="Normal 8 4 2 2 6" xfId="2652" xr:uid="{00000000-0005-0000-0000-0000E21D0000}"/>
    <cellStyle name="Normal 8 4 2 2 6 2" xfId="6935" xr:uid="{00000000-0005-0000-0000-0000E31D0000}"/>
    <cellStyle name="Normal 8 4 2 2 6 2 2" xfId="15385" xr:uid="{86F9ED3E-D984-41FE-97A3-2AEE3ED477DF}"/>
    <cellStyle name="Normal 8 4 2 2 6 2 3" xfId="23825" xr:uid="{3185F640-34F8-4D00-90F0-254D5F7EA838}"/>
    <cellStyle name="Normal 8 4 2 2 6 3" xfId="11167" xr:uid="{FE5764AE-A8CE-4970-8AC2-86040D377BD0}"/>
    <cellStyle name="Normal 8 4 2 2 6 4" xfId="19608" xr:uid="{9EA878AE-0FDD-4859-96C8-A9BCAF8545E5}"/>
    <cellStyle name="Normal 8 4 2 2 7" xfId="4870" xr:uid="{00000000-0005-0000-0000-0000E41D0000}"/>
    <cellStyle name="Normal 8 4 2 2 7 2" xfId="13320" xr:uid="{389E8740-9B30-424C-802E-3C8798BC609B}"/>
    <cellStyle name="Normal 8 4 2 2 7 3" xfId="21760" xr:uid="{3B8B1B93-A4CE-418C-9403-BF52922BF8FB}"/>
    <cellStyle name="Normal 8 4 2 2 8" xfId="9102" xr:uid="{C5438EB3-D89A-4ACE-BD68-5C8671FF6A55}"/>
    <cellStyle name="Normal 8 4 2 2 9" xfId="17543" xr:uid="{6DF153CA-BCCF-4F46-B1C1-8EB4A16C5B9D}"/>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EEF44DA7-1D22-4CA2-B2D0-DEC502FE37CA}"/>
    <cellStyle name="Normal 8 4 2 3 2 2 3" xfId="24317" xr:uid="{67D694BB-95D1-4B41-B26D-11DB157C8C4E}"/>
    <cellStyle name="Normal 8 4 2 3 2 3" xfId="11659" xr:uid="{146309F8-233A-44FD-BF2E-FE59947B3B3D}"/>
    <cellStyle name="Normal 8 4 2 3 2 4" xfId="20100" xr:uid="{5169CB3F-00A0-42E9-A4EE-DDF53AD6D40C}"/>
    <cellStyle name="Normal 8 4 2 3 3" xfId="5282" xr:uid="{00000000-0005-0000-0000-0000E81D0000}"/>
    <cellStyle name="Normal 8 4 2 3 3 2" xfId="13732" xr:uid="{FC23F81A-7388-4CD2-AF7E-26B8C23455F3}"/>
    <cellStyle name="Normal 8 4 2 3 3 3" xfId="22172" xr:uid="{75784C44-20D7-425E-98E2-F5E8BB9FA7E9}"/>
    <cellStyle name="Normal 8 4 2 3 4" xfId="9514" xr:uid="{FFDD323F-C289-4675-88D8-E90745923DB6}"/>
    <cellStyle name="Normal 8 4 2 3 5" xfId="17955" xr:uid="{D43B4E50-BFEE-468F-B2A4-892F786610F2}"/>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D37528C5-033F-4B3F-B8A4-805463D2DA30}"/>
    <cellStyle name="Normal 8 4 2 4 2 2 3" xfId="24730" xr:uid="{B38E4BF5-F227-45A0-928C-C98BD13D7174}"/>
    <cellStyle name="Normal 8 4 2 4 2 3" xfId="12072" xr:uid="{940B4A37-632D-4952-B94A-90D0BF5E42C8}"/>
    <cellStyle name="Normal 8 4 2 4 2 4" xfId="20513" xr:uid="{A9FDC447-DAE5-4190-86ED-E7DDFD3955CB}"/>
    <cellStyle name="Normal 8 4 2 4 3" xfId="5695" xr:uid="{00000000-0005-0000-0000-0000EC1D0000}"/>
    <cellStyle name="Normal 8 4 2 4 3 2" xfId="14145" xr:uid="{89A5B670-711D-4A00-92B8-734116FF64BC}"/>
    <cellStyle name="Normal 8 4 2 4 3 3" xfId="22585" xr:uid="{B71AFBFC-155A-47C7-8583-98FAEF3AF784}"/>
    <cellStyle name="Normal 8 4 2 4 4" xfId="9927" xr:uid="{F51C763A-2D8B-4D89-8C76-4A5BE88DF244}"/>
    <cellStyle name="Normal 8 4 2 4 5" xfId="18368" xr:uid="{D727C838-AB5C-420C-8569-9589B11B1B73}"/>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BB339F5-E5F0-47EE-AE82-FC29BDE3B363}"/>
    <cellStyle name="Normal 8 4 2 5 2 2 3" xfId="25143" xr:uid="{408AD64A-43A0-4931-AF4D-6096D5D51400}"/>
    <cellStyle name="Normal 8 4 2 5 2 3" xfId="12485" xr:uid="{E770205B-A656-4827-8AF8-86B98EFFB75D}"/>
    <cellStyle name="Normal 8 4 2 5 2 4" xfId="20926" xr:uid="{97DC97FA-F3FD-4090-AC33-1DC6D282BE38}"/>
    <cellStyle name="Normal 8 4 2 5 3" xfId="6108" xr:uid="{00000000-0005-0000-0000-0000F01D0000}"/>
    <cellStyle name="Normal 8 4 2 5 3 2" xfId="14558" xr:uid="{767413F7-3CEF-43B6-8A29-7FC3884D4F7F}"/>
    <cellStyle name="Normal 8 4 2 5 3 3" xfId="22998" xr:uid="{2D7D87F3-FA3F-43CA-95F4-D40032A15430}"/>
    <cellStyle name="Normal 8 4 2 5 4" xfId="10340" xr:uid="{209CBCF8-5895-44E8-AD2B-1646B498330E}"/>
    <cellStyle name="Normal 8 4 2 5 5" xfId="18781" xr:uid="{FB5E6B73-13C4-4234-BC1D-A2D3928D2CC0}"/>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0D2DD613-AA92-477E-9DF0-BB7053CCAC25}"/>
    <cellStyle name="Normal 8 4 2 6 2 2 3" xfId="25556" xr:uid="{0E5E298B-AA1B-4793-B1A4-36FC1A94F9EF}"/>
    <cellStyle name="Normal 8 4 2 6 2 3" xfId="12898" xr:uid="{0C6ABAA6-6275-4A35-B685-2F1F1CDA829E}"/>
    <cellStyle name="Normal 8 4 2 6 2 4" xfId="21339" xr:uid="{C2F38C82-BEB2-4BC3-A6DF-5A45DF62BD98}"/>
    <cellStyle name="Normal 8 4 2 6 3" xfId="6521" xr:uid="{00000000-0005-0000-0000-0000F41D0000}"/>
    <cellStyle name="Normal 8 4 2 6 3 2" xfId="14971" xr:uid="{A0BE1F67-8E64-42D2-94FC-E2F9B6827D0A}"/>
    <cellStyle name="Normal 8 4 2 6 3 3" xfId="23411" xr:uid="{C0C98B11-B918-4D29-B201-EA7E147406D3}"/>
    <cellStyle name="Normal 8 4 2 6 4" xfId="10753" xr:uid="{73D00FE5-1CBF-4789-9C1F-F47F960685A6}"/>
    <cellStyle name="Normal 8 4 2 6 5" xfId="19194" xr:uid="{6B191C64-1B7B-416D-90C7-CAEED16DAC0D}"/>
    <cellStyle name="Normal 8 4 2 7" xfId="2651" xr:uid="{00000000-0005-0000-0000-0000F51D0000}"/>
    <cellStyle name="Normal 8 4 2 7 2" xfId="6934" xr:uid="{00000000-0005-0000-0000-0000F61D0000}"/>
    <cellStyle name="Normal 8 4 2 7 2 2" xfId="15384" xr:uid="{3F961C2C-11DA-437D-8CF9-FD2EEA904F61}"/>
    <cellStyle name="Normal 8 4 2 7 2 3" xfId="23824" xr:uid="{132453DF-3BEA-4BC9-A077-1482F32A89B7}"/>
    <cellStyle name="Normal 8 4 2 7 3" xfId="11166" xr:uid="{AE17B4FD-E1A0-45C1-9FF1-39AFF1BBBC96}"/>
    <cellStyle name="Normal 8 4 2 7 4" xfId="19607" xr:uid="{387BDC78-EA5D-4B13-854A-2F573D835EB1}"/>
    <cellStyle name="Normal 8 4 2 8" xfId="4869" xr:uid="{00000000-0005-0000-0000-0000F71D0000}"/>
    <cellStyle name="Normal 8 4 2 8 2" xfId="13319" xr:uid="{B303E3FA-2B8F-4BF4-BCB2-ED37C7C123F8}"/>
    <cellStyle name="Normal 8 4 2 8 3" xfId="21759" xr:uid="{C1FA3334-F221-477E-9076-EDE1BF5F92F2}"/>
    <cellStyle name="Normal 8 4 2 9" xfId="9101" xr:uid="{54968B92-19C2-4D76-97BD-73B39DA1865E}"/>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F96B917A-6121-4FB5-9ACA-861EF70866D3}"/>
    <cellStyle name="Normal 8 4 3 2 2 2 3" xfId="24319" xr:uid="{B31D3886-537D-4721-BB01-0890EB5C4463}"/>
    <cellStyle name="Normal 8 4 3 2 2 3" xfId="11661" xr:uid="{657A998F-8AF5-4BA6-B753-CFB390AE30E9}"/>
    <cellStyle name="Normal 8 4 3 2 2 4" xfId="20102" xr:uid="{F9BB1CD8-375F-4895-9EDB-EC87D2D414AF}"/>
    <cellStyle name="Normal 8 4 3 2 3" xfId="5284" xr:uid="{00000000-0005-0000-0000-0000FC1D0000}"/>
    <cellStyle name="Normal 8 4 3 2 3 2" xfId="13734" xr:uid="{CE5B75CF-0292-44F8-B80E-9754862E7A7F}"/>
    <cellStyle name="Normal 8 4 3 2 3 3" xfId="22174" xr:uid="{3E40D587-BE52-4FFE-BB52-8D9DD68B3DDD}"/>
    <cellStyle name="Normal 8 4 3 2 4" xfId="9516" xr:uid="{9A676B74-7F00-4781-9A2A-BEECA0717641}"/>
    <cellStyle name="Normal 8 4 3 2 5" xfId="17957" xr:uid="{D367639A-9715-4AE3-9660-4C6C97F05FA6}"/>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4E2BACD3-927B-4A5C-AE70-4F9CB997B3D8}"/>
    <cellStyle name="Normal 8 4 3 3 2 2 3" xfId="24732" xr:uid="{E466B501-A01C-46B2-83B9-71BA813F197A}"/>
    <cellStyle name="Normal 8 4 3 3 2 3" xfId="12074" xr:uid="{E1247ADA-A859-49F5-8C62-FBA556F5A38F}"/>
    <cellStyle name="Normal 8 4 3 3 2 4" xfId="20515" xr:uid="{2CC28A32-6140-49CE-9A25-33401F8B8DC5}"/>
    <cellStyle name="Normal 8 4 3 3 3" xfId="5697" xr:uid="{00000000-0005-0000-0000-0000001E0000}"/>
    <cellStyle name="Normal 8 4 3 3 3 2" xfId="14147" xr:uid="{BD3C9C11-993F-424D-8737-8800BDB0DDEA}"/>
    <cellStyle name="Normal 8 4 3 3 3 3" xfId="22587" xr:uid="{7EBF8583-C0F4-4736-9B08-5B73F39A6381}"/>
    <cellStyle name="Normal 8 4 3 3 4" xfId="9929" xr:uid="{28FD28FF-0BCD-4037-9753-E6323A7C9DB2}"/>
    <cellStyle name="Normal 8 4 3 3 5" xfId="18370" xr:uid="{5762AAD2-BFE4-4A3E-9C8C-93F248F89D75}"/>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C90FA210-E583-49FE-B24B-31753055741E}"/>
    <cellStyle name="Normal 8 4 3 4 2 2 3" xfId="25145" xr:uid="{D06999F3-0111-42AD-B0E2-2B10AAFAC3F0}"/>
    <cellStyle name="Normal 8 4 3 4 2 3" xfId="12487" xr:uid="{5FA6AA36-5C94-436B-99B4-423EAF7C8A00}"/>
    <cellStyle name="Normal 8 4 3 4 2 4" xfId="20928" xr:uid="{6F50BDA2-40FF-4B06-88AA-A40FD7328152}"/>
    <cellStyle name="Normal 8 4 3 4 3" xfId="6110" xr:uid="{00000000-0005-0000-0000-0000041E0000}"/>
    <cellStyle name="Normal 8 4 3 4 3 2" xfId="14560" xr:uid="{DA78F54E-EAE6-4B96-8C2C-34F42EA6FA36}"/>
    <cellStyle name="Normal 8 4 3 4 3 3" xfId="23000" xr:uid="{1C3D9B00-5F81-45E1-8720-8DFE44104E46}"/>
    <cellStyle name="Normal 8 4 3 4 4" xfId="10342" xr:uid="{B4C423E6-8E4C-4BB7-959E-5E867DF5AE56}"/>
    <cellStyle name="Normal 8 4 3 4 5" xfId="18783" xr:uid="{C18E457E-324D-4F4F-930B-154858D45149}"/>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1D16FE3-B868-419C-91F2-C387E731B032}"/>
    <cellStyle name="Normal 8 4 3 5 2 2 3" xfId="25558" xr:uid="{C4F31024-261F-42A8-8B87-4AF533B2133B}"/>
    <cellStyle name="Normal 8 4 3 5 2 3" xfId="12900" xr:uid="{43A7B19A-A967-41B5-912A-0242079FE4AF}"/>
    <cellStyle name="Normal 8 4 3 5 2 4" xfId="21341" xr:uid="{52AD9EB6-01F7-451D-A0FF-4844FD6FC1D3}"/>
    <cellStyle name="Normal 8 4 3 5 3" xfId="6523" xr:uid="{00000000-0005-0000-0000-0000081E0000}"/>
    <cellStyle name="Normal 8 4 3 5 3 2" xfId="14973" xr:uid="{2B7F9EA4-D987-4B25-8EEB-35479FBE79C0}"/>
    <cellStyle name="Normal 8 4 3 5 3 3" xfId="23413" xr:uid="{B18DD22E-226E-4BB9-AA7E-0647F4170A8B}"/>
    <cellStyle name="Normal 8 4 3 5 4" xfId="10755" xr:uid="{7D8640FA-DB1F-41B1-A170-8D97F75CACD2}"/>
    <cellStyle name="Normal 8 4 3 5 5" xfId="19196" xr:uid="{10CB7330-1C45-47F0-8762-08EAF5854DEB}"/>
    <cellStyle name="Normal 8 4 3 6" xfId="2653" xr:uid="{00000000-0005-0000-0000-0000091E0000}"/>
    <cellStyle name="Normal 8 4 3 6 2" xfId="6936" xr:uid="{00000000-0005-0000-0000-00000A1E0000}"/>
    <cellStyle name="Normal 8 4 3 6 2 2" xfId="15386" xr:uid="{625D5476-016F-4C0C-8788-0A460FDB965A}"/>
    <cellStyle name="Normal 8 4 3 6 2 3" xfId="23826" xr:uid="{2A347862-D6C1-410E-B9DA-4D30E0EA5627}"/>
    <cellStyle name="Normal 8 4 3 6 3" xfId="11168" xr:uid="{6A834A58-E73B-4332-8B78-B2594BE05ECE}"/>
    <cellStyle name="Normal 8 4 3 6 4" xfId="19609" xr:uid="{E36206FF-77E2-4FDE-A9B8-F4389670AFD8}"/>
    <cellStyle name="Normal 8 4 3 7" xfId="4871" xr:uid="{00000000-0005-0000-0000-00000B1E0000}"/>
    <cellStyle name="Normal 8 4 3 7 2" xfId="13321" xr:uid="{EB36CD23-CB72-4C86-A8CB-42E17B2628D9}"/>
    <cellStyle name="Normal 8 4 3 7 3" xfId="21761" xr:uid="{80DF1005-C148-4318-8B6B-ECB2D6B21DF2}"/>
    <cellStyle name="Normal 8 4 3 8" xfId="9103" xr:uid="{F53DBCA2-0918-4482-95F0-C41532831FA9}"/>
    <cellStyle name="Normal 8 4 3 9" xfId="17544" xr:uid="{52618FA3-81EA-4049-B971-11F4ED0927F7}"/>
    <cellStyle name="Normal 8 4 4" xfId="970" xr:uid="{00000000-0005-0000-0000-00000C1E0000}"/>
    <cellStyle name="Normal 8 4 4 2" xfId="3204" xr:uid="{00000000-0005-0000-0000-00000D1E0000}"/>
    <cellStyle name="Normal 8 4 4 2 2" xfId="7426" xr:uid="{00000000-0005-0000-0000-00000E1E0000}"/>
    <cellStyle name="Normal 8 4 4 2 2 2" xfId="15876" xr:uid="{86BD11A5-45F0-4268-9148-5A96637DE579}"/>
    <cellStyle name="Normal 8 4 4 2 2 3" xfId="24316" xr:uid="{BB160FC8-13E0-4C87-9CA4-457CB07127E5}"/>
    <cellStyle name="Normal 8 4 4 2 3" xfId="11658" xr:uid="{2F12F5A9-BC1F-4502-BE25-3DB01A29AEFD}"/>
    <cellStyle name="Normal 8 4 4 2 4" xfId="20099" xr:uid="{70239F2E-911B-4FF2-AC22-AACF5CE2A7B9}"/>
    <cellStyle name="Normal 8 4 4 3" xfId="5281" xr:uid="{00000000-0005-0000-0000-00000F1E0000}"/>
    <cellStyle name="Normal 8 4 4 3 2" xfId="13731" xr:uid="{35CEB458-9A97-4E68-989A-E952A9FA8C75}"/>
    <cellStyle name="Normal 8 4 4 3 3" xfId="22171" xr:uid="{B39F0C59-17A8-4241-A1B6-4F3178F2DE57}"/>
    <cellStyle name="Normal 8 4 4 4" xfId="9513" xr:uid="{94FD7115-9F8E-4678-A7A6-BC874B095108}"/>
    <cellStyle name="Normal 8 4 4 5" xfId="17954" xr:uid="{F132E620-D691-4EF7-AD8A-CFA92DEF0E0A}"/>
    <cellStyle name="Normal 8 4 5" xfId="1387" xr:uid="{00000000-0005-0000-0000-0000101E0000}"/>
    <cellStyle name="Normal 8 4 5 2" xfId="3617" xr:uid="{00000000-0005-0000-0000-0000111E0000}"/>
    <cellStyle name="Normal 8 4 5 2 2" xfId="7839" xr:uid="{00000000-0005-0000-0000-0000121E0000}"/>
    <cellStyle name="Normal 8 4 5 2 2 2" xfId="16289" xr:uid="{C55A6FC3-1DBA-4E20-845F-A7D2C798DE0D}"/>
    <cellStyle name="Normal 8 4 5 2 2 3" xfId="24729" xr:uid="{98BCD93B-558D-4B0C-BDBB-A30CA80C1B97}"/>
    <cellStyle name="Normal 8 4 5 2 3" xfId="12071" xr:uid="{D98459D2-75FF-481D-85AB-10E293DE1C5A}"/>
    <cellStyle name="Normal 8 4 5 2 4" xfId="20512" xr:uid="{D5F4C106-E9DA-46D5-B7D0-9129A94B8717}"/>
    <cellStyle name="Normal 8 4 5 3" xfId="5694" xr:uid="{00000000-0005-0000-0000-0000131E0000}"/>
    <cellStyle name="Normal 8 4 5 3 2" xfId="14144" xr:uid="{BDA42538-1AF3-416C-86C9-1E8B4D962573}"/>
    <cellStyle name="Normal 8 4 5 3 3" xfId="22584" xr:uid="{324C8460-43E4-4328-8E25-C16211377B63}"/>
    <cellStyle name="Normal 8 4 5 4" xfId="9926" xr:uid="{BF4555F2-E429-467F-A59D-8527D06EF3CF}"/>
    <cellStyle name="Normal 8 4 5 5" xfId="18367" xr:uid="{D9F98589-4E80-4F3A-B537-2C29C2CEA6C3}"/>
    <cellStyle name="Normal 8 4 6" xfId="1800" xr:uid="{00000000-0005-0000-0000-0000141E0000}"/>
    <cellStyle name="Normal 8 4 6 2" xfId="4030" xr:uid="{00000000-0005-0000-0000-0000151E0000}"/>
    <cellStyle name="Normal 8 4 6 2 2" xfId="8252" xr:uid="{00000000-0005-0000-0000-0000161E0000}"/>
    <cellStyle name="Normal 8 4 6 2 2 2" xfId="16702" xr:uid="{38787F05-52C2-4497-81BA-160366937E07}"/>
    <cellStyle name="Normal 8 4 6 2 2 3" xfId="25142" xr:uid="{2AB7FC89-F183-4989-80D8-0C96152A7FAE}"/>
    <cellStyle name="Normal 8 4 6 2 3" xfId="12484" xr:uid="{EA990DD9-BA3B-4A1C-A845-349BB6F5FF4E}"/>
    <cellStyle name="Normal 8 4 6 2 4" xfId="20925" xr:uid="{6F23CD88-13CD-468B-9FDB-AC3C6E5FC410}"/>
    <cellStyle name="Normal 8 4 6 3" xfId="6107" xr:uid="{00000000-0005-0000-0000-0000171E0000}"/>
    <cellStyle name="Normal 8 4 6 3 2" xfId="14557" xr:uid="{E4F71704-EAC4-4E37-93DE-8371E134E86F}"/>
    <cellStyle name="Normal 8 4 6 3 3" xfId="22997" xr:uid="{098BA127-A2F2-4015-934F-E9B0F06EDE58}"/>
    <cellStyle name="Normal 8 4 6 4" xfId="10339" xr:uid="{C3FD1080-EADA-4814-A637-CD1DAFED11EE}"/>
    <cellStyle name="Normal 8 4 6 5" xfId="18780" xr:uid="{DFAB5B92-63B2-4221-AD0B-FCC0373EDAEA}"/>
    <cellStyle name="Normal 8 4 7" xfId="2214" xr:uid="{00000000-0005-0000-0000-0000181E0000}"/>
    <cellStyle name="Normal 8 4 7 2" xfId="4443" xr:uid="{00000000-0005-0000-0000-0000191E0000}"/>
    <cellStyle name="Normal 8 4 7 2 2" xfId="8665" xr:uid="{00000000-0005-0000-0000-00001A1E0000}"/>
    <cellStyle name="Normal 8 4 7 2 2 2" xfId="17115" xr:uid="{FD1C904E-1A0D-4045-B235-CEFF072B074C}"/>
    <cellStyle name="Normal 8 4 7 2 2 3" xfId="25555" xr:uid="{E65AD895-6DDF-4000-8C39-DB3E626E32F9}"/>
    <cellStyle name="Normal 8 4 7 2 3" xfId="12897" xr:uid="{DDBF67C3-1362-4A24-9615-8B8D8F8D7437}"/>
    <cellStyle name="Normal 8 4 7 2 4" xfId="21338" xr:uid="{32CD7DDD-0197-43E4-B513-5097DA081CD9}"/>
    <cellStyle name="Normal 8 4 7 3" xfId="6520" xr:uid="{00000000-0005-0000-0000-00001B1E0000}"/>
    <cellStyle name="Normal 8 4 7 3 2" xfId="14970" xr:uid="{0C3B9A9F-59F0-40C9-867A-F9812F6394CD}"/>
    <cellStyle name="Normal 8 4 7 3 3" xfId="23410" xr:uid="{04E2F9CD-5E46-41D4-ADBD-E46F18227C82}"/>
    <cellStyle name="Normal 8 4 7 4" xfId="10752" xr:uid="{BB9919BC-512F-41D9-A66B-C9B9316D2E39}"/>
    <cellStyle name="Normal 8 4 7 5" xfId="19193" xr:uid="{EDBBC861-F9A3-4B60-867C-A7D23B202722}"/>
    <cellStyle name="Normal 8 4 8" xfId="2650" xr:uid="{00000000-0005-0000-0000-00001C1E0000}"/>
    <cellStyle name="Normal 8 4 8 2" xfId="6933" xr:uid="{00000000-0005-0000-0000-00001D1E0000}"/>
    <cellStyle name="Normal 8 4 8 2 2" xfId="15383" xr:uid="{15CF9D66-3141-4BF7-8A95-661B122DF015}"/>
    <cellStyle name="Normal 8 4 8 2 3" xfId="23823" xr:uid="{6F83E615-EEAC-4F75-B4D7-ACC6C9C78188}"/>
    <cellStyle name="Normal 8 4 8 3" xfId="11165" xr:uid="{94D56E16-2119-4CD7-B4FF-9B7C4273AC70}"/>
    <cellStyle name="Normal 8 4 8 4" xfId="19606" xr:uid="{A8A41F3B-F80B-4561-AAEC-B44F8C16EFF7}"/>
    <cellStyle name="Normal 8 4 9" xfId="4868" xr:uid="{00000000-0005-0000-0000-00001E1E0000}"/>
    <cellStyle name="Normal 8 4 9 2" xfId="13318" xr:uid="{3BD0AD3F-4EB7-402D-8374-97D6FD646DD3}"/>
    <cellStyle name="Normal 8 4 9 3" xfId="21758" xr:uid="{54545A8B-1552-48F9-9A04-94D4A2791CC0}"/>
    <cellStyle name="Normal 8 5" xfId="507" xr:uid="{00000000-0005-0000-0000-00001F1E0000}"/>
    <cellStyle name="Normal 8 5 10" xfId="17545" xr:uid="{CFC3BE2E-C890-41D0-A2D6-80A362636551}"/>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1197162D-7C7D-41B5-B285-80192513AF8F}"/>
    <cellStyle name="Normal 8 5 2 2 2 2 3" xfId="24321" xr:uid="{DBD8CD13-E72B-4331-A06C-EFDE019EE330}"/>
    <cellStyle name="Normal 8 5 2 2 2 3" xfId="11663" xr:uid="{2BB1E0DB-FF5A-433E-9213-1213256D1E56}"/>
    <cellStyle name="Normal 8 5 2 2 2 4" xfId="20104" xr:uid="{83C539DD-C417-4CF7-A1BA-FB492A7CF970}"/>
    <cellStyle name="Normal 8 5 2 2 3" xfId="5286" xr:uid="{00000000-0005-0000-0000-0000241E0000}"/>
    <cellStyle name="Normal 8 5 2 2 3 2" xfId="13736" xr:uid="{62DF0A0D-3170-4ACD-98C6-68891C6923D3}"/>
    <cellStyle name="Normal 8 5 2 2 3 3" xfId="22176" xr:uid="{44CB9AA2-4288-4A5E-8113-B457F4B19F3F}"/>
    <cellStyle name="Normal 8 5 2 2 4" xfId="9518" xr:uid="{FE9ACC22-8E4F-4FBF-9D0C-85BC1F3641F4}"/>
    <cellStyle name="Normal 8 5 2 2 5" xfId="17959" xr:uid="{05BB80A7-257A-4BE9-902E-C1E774DA8D5F}"/>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03A3DD9A-AA8C-4040-B1DC-A5C99C0D2A23}"/>
    <cellStyle name="Normal 8 5 2 3 2 2 3" xfId="24734" xr:uid="{51DE98B8-ACE6-49F3-8C95-C3FA98AC8877}"/>
    <cellStyle name="Normal 8 5 2 3 2 3" xfId="12076" xr:uid="{019EE742-FDFB-41EC-BACC-9D75D7ACB22F}"/>
    <cellStyle name="Normal 8 5 2 3 2 4" xfId="20517" xr:uid="{583A1018-2937-4014-A406-53ACBD7692B5}"/>
    <cellStyle name="Normal 8 5 2 3 3" xfId="5699" xr:uid="{00000000-0005-0000-0000-0000281E0000}"/>
    <cellStyle name="Normal 8 5 2 3 3 2" xfId="14149" xr:uid="{AC6BCA01-A773-45B9-AA3D-C1F2E6CA2BE5}"/>
    <cellStyle name="Normal 8 5 2 3 3 3" xfId="22589" xr:uid="{43CD4D39-0185-4B46-B616-04404B822C59}"/>
    <cellStyle name="Normal 8 5 2 3 4" xfId="9931" xr:uid="{841B7EB7-32E3-46E1-AFF3-22CFBAED318B}"/>
    <cellStyle name="Normal 8 5 2 3 5" xfId="18372" xr:uid="{F49A6754-54E0-45AB-8A9F-7E61475A01CC}"/>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539AD329-7F84-48EA-9F13-8F9101CF0088}"/>
    <cellStyle name="Normal 8 5 2 4 2 2 3" xfId="25147" xr:uid="{D9430746-75D1-4754-898D-C7677B2C0531}"/>
    <cellStyle name="Normal 8 5 2 4 2 3" xfId="12489" xr:uid="{20066404-37A6-4CC6-8B62-6765C25F4282}"/>
    <cellStyle name="Normal 8 5 2 4 2 4" xfId="20930" xr:uid="{CAE23040-B8A0-4804-BC81-82F8D01F91AC}"/>
    <cellStyle name="Normal 8 5 2 4 3" xfId="6112" xr:uid="{00000000-0005-0000-0000-00002C1E0000}"/>
    <cellStyle name="Normal 8 5 2 4 3 2" xfId="14562" xr:uid="{4AA0EF8F-6D85-4608-9E21-06F62B5E7689}"/>
    <cellStyle name="Normal 8 5 2 4 3 3" xfId="23002" xr:uid="{0B1A4E00-09D5-43C8-9080-D203065EAD04}"/>
    <cellStyle name="Normal 8 5 2 4 4" xfId="10344" xr:uid="{E1434752-5F05-47F2-B92B-A10F05269BB7}"/>
    <cellStyle name="Normal 8 5 2 4 5" xfId="18785" xr:uid="{92E0613D-3918-4530-B63F-AE7A05CE0652}"/>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8EF793E3-1D62-4985-B7BC-CE642DB89DDB}"/>
    <cellStyle name="Normal 8 5 2 5 2 2 3" xfId="25560" xr:uid="{15E0FBB9-F7AE-4B14-8CCC-2474FAF95940}"/>
    <cellStyle name="Normal 8 5 2 5 2 3" xfId="12902" xr:uid="{8B9FE540-4709-4B2A-B44F-F55D646EFF6E}"/>
    <cellStyle name="Normal 8 5 2 5 2 4" xfId="21343" xr:uid="{C1E097E9-528A-41D6-B7C2-7C662ADA7B40}"/>
    <cellStyle name="Normal 8 5 2 5 3" xfId="6525" xr:uid="{00000000-0005-0000-0000-0000301E0000}"/>
    <cellStyle name="Normal 8 5 2 5 3 2" xfId="14975" xr:uid="{F458A9F5-7A48-4E29-A745-A6E0DA7B539B}"/>
    <cellStyle name="Normal 8 5 2 5 3 3" xfId="23415" xr:uid="{2C2FC20C-0645-4B2E-9546-EB9A7BFF6E6B}"/>
    <cellStyle name="Normal 8 5 2 5 4" xfId="10757" xr:uid="{B8B4BE9F-711B-459C-8F44-0C8AF77835A7}"/>
    <cellStyle name="Normal 8 5 2 5 5" xfId="19198" xr:uid="{94F6C280-9368-47A6-A40A-C2393A1BFE93}"/>
    <cellStyle name="Normal 8 5 2 6" xfId="2655" xr:uid="{00000000-0005-0000-0000-0000311E0000}"/>
    <cellStyle name="Normal 8 5 2 6 2" xfId="6938" xr:uid="{00000000-0005-0000-0000-0000321E0000}"/>
    <cellStyle name="Normal 8 5 2 6 2 2" xfId="15388" xr:uid="{795AAE16-EB3E-47F0-9D94-8518409036D8}"/>
    <cellStyle name="Normal 8 5 2 6 2 3" xfId="23828" xr:uid="{2615E471-FF05-49CD-81CA-744E693F7712}"/>
    <cellStyle name="Normal 8 5 2 6 3" xfId="11170" xr:uid="{1463EA3B-C2BC-4AA7-AF67-D7925578B07A}"/>
    <cellStyle name="Normal 8 5 2 6 4" xfId="19611" xr:uid="{948D9F0B-DCAE-4FFF-912D-E2ED449EBF37}"/>
    <cellStyle name="Normal 8 5 2 7" xfId="4873" xr:uid="{00000000-0005-0000-0000-0000331E0000}"/>
    <cellStyle name="Normal 8 5 2 7 2" xfId="13323" xr:uid="{8CF2A8C5-E7C9-41EB-9751-31FDD5F5F05A}"/>
    <cellStyle name="Normal 8 5 2 7 3" xfId="21763" xr:uid="{D78480F1-5B98-446D-B246-67EB080AA458}"/>
    <cellStyle name="Normal 8 5 2 8" xfId="9105" xr:uid="{9615EF67-3E01-462A-BA1B-5B37D35EFE5D}"/>
    <cellStyle name="Normal 8 5 2 9" xfId="17546" xr:uid="{B2B3AA35-641B-4B6F-B999-AB9D500269D8}"/>
    <cellStyle name="Normal 8 5 3" xfId="974" xr:uid="{00000000-0005-0000-0000-0000341E0000}"/>
    <cellStyle name="Normal 8 5 3 2" xfId="3208" xr:uid="{00000000-0005-0000-0000-0000351E0000}"/>
    <cellStyle name="Normal 8 5 3 2 2" xfId="7430" xr:uid="{00000000-0005-0000-0000-0000361E0000}"/>
    <cellStyle name="Normal 8 5 3 2 2 2" xfId="15880" xr:uid="{1C941A24-3208-4326-B0B0-1F2D306A470A}"/>
    <cellStyle name="Normal 8 5 3 2 2 3" xfId="24320" xr:uid="{F4754061-84C5-4237-ACB3-485DF1137C3D}"/>
    <cellStyle name="Normal 8 5 3 2 3" xfId="11662" xr:uid="{FD0F6CAF-20B7-4446-80D5-2622BB73C3B9}"/>
    <cellStyle name="Normal 8 5 3 2 4" xfId="20103" xr:uid="{2FBD26E7-7E18-4719-BF92-2DC8A658E05C}"/>
    <cellStyle name="Normal 8 5 3 3" xfId="5285" xr:uid="{00000000-0005-0000-0000-0000371E0000}"/>
    <cellStyle name="Normal 8 5 3 3 2" xfId="13735" xr:uid="{4AA35516-D53C-4E6E-9ADB-2F4E08C1A07C}"/>
    <cellStyle name="Normal 8 5 3 3 3" xfId="22175" xr:uid="{A6C3E91F-B1D4-49B6-A284-88F9ED20D8A3}"/>
    <cellStyle name="Normal 8 5 3 4" xfId="9517" xr:uid="{35B849E0-A0F2-4983-A1EB-3D86095E647E}"/>
    <cellStyle name="Normal 8 5 3 5" xfId="17958" xr:uid="{EBDE8786-C8D8-4CE6-A530-64C89D709460}"/>
    <cellStyle name="Normal 8 5 4" xfId="1391" xr:uid="{00000000-0005-0000-0000-0000381E0000}"/>
    <cellStyle name="Normal 8 5 4 2" xfId="3621" xr:uid="{00000000-0005-0000-0000-0000391E0000}"/>
    <cellStyle name="Normal 8 5 4 2 2" xfId="7843" xr:uid="{00000000-0005-0000-0000-00003A1E0000}"/>
    <cellStyle name="Normal 8 5 4 2 2 2" xfId="16293" xr:uid="{5DCAA940-D6F3-4C55-9104-0B103BB0D1F6}"/>
    <cellStyle name="Normal 8 5 4 2 2 3" xfId="24733" xr:uid="{B42A1DCF-E698-402E-AD05-FC8590AE8DB8}"/>
    <cellStyle name="Normal 8 5 4 2 3" xfId="12075" xr:uid="{AB3FA325-DD30-4D87-963F-6E92667C1F0E}"/>
    <cellStyle name="Normal 8 5 4 2 4" xfId="20516" xr:uid="{0E0A4A67-CA07-4CE3-8387-375CA418B02A}"/>
    <cellStyle name="Normal 8 5 4 3" xfId="5698" xr:uid="{00000000-0005-0000-0000-00003B1E0000}"/>
    <cellStyle name="Normal 8 5 4 3 2" xfId="14148" xr:uid="{87DD9DDE-14E8-4B5A-BACD-14E716C54B2D}"/>
    <cellStyle name="Normal 8 5 4 3 3" xfId="22588" xr:uid="{C1EB6015-6119-4B31-90E9-1B0FCAA8E1A3}"/>
    <cellStyle name="Normal 8 5 4 4" xfId="9930" xr:uid="{30F7899A-2B0A-48B9-BD4A-BE3ADC527D5F}"/>
    <cellStyle name="Normal 8 5 4 5" xfId="18371" xr:uid="{6F7321C0-BD63-4E3F-98A1-72237F66A498}"/>
    <cellStyle name="Normal 8 5 5" xfId="1804" xr:uid="{00000000-0005-0000-0000-00003C1E0000}"/>
    <cellStyle name="Normal 8 5 5 2" xfId="4034" xr:uid="{00000000-0005-0000-0000-00003D1E0000}"/>
    <cellStyle name="Normal 8 5 5 2 2" xfId="8256" xr:uid="{00000000-0005-0000-0000-00003E1E0000}"/>
    <cellStyle name="Normal 8 5 5 2 2 2" xfId="16706" xr:uid="{B3637C6B-9E15-40A6-8A43-1E0BB358CD62}"/>
    <cellStyle name="Normal 8 5 5 2 2 3" xfId="25146" xr:uid="{39B40758-F643-4F5F-B27B-4E9F1F419D07}"/>
    <cellStyle name="Normal 8 5 5 2 3" xfId="12488" xr:uid="{16F6DF26-262C-4843-BA12-5A0A7F557EBD}"/>
    <cellStyle name="Normal 8 5 5 2 4" xfId="20929" xr:uid="{1E23E8C3-ADE0-4BDD-895F-68E6C83BFD1B}"/>
    <cellStyle name="Normal 8 5 5 3" xfId="6111" xr:uid="{00000000-0005-0000-0000-00003F1E0000}"/>
    <cellStyle name="Normal 8 5 5 3 2" xfId="14561" xr:uid="{89927112-6D9E-4712-BF13-D3392AF24FC0}"/>
    <cellStyle name="Normal 8 5 5 3 3" xfId="23001" xr:uid="{7B318B43-E52E-401B-AEEA-ED953B84E9C3}"/>
    <cellStyle name="Normal 8 5 5 4" xfId="10343" xr:uid="{E07982CA-74B9-4071-8888-B34AFECD914E}"/>
    <cellStyle name="Normal 8 5 5 5" xfId="18784" xr:uid="{6AEDB319-A18A-4842-8F13-92BAABB3C42E}"/>
    <cellStyle name="Normal 8 5 6" xfId="2218" xr:uid="{00000000-0005-0000-0000-0000401E0000}"/>
    <cellStyle name="Normal 8 5 6 2" xfId="4447" xr:uid="{00000000-0005-0000-0000-0000411E0000}"/>
    <cellStyle name="Normal 8 5 6 2 2" xfId="8669" xr:uid="{00000000-0005-0000-0000-0000421E0000}"/>
    <cellStyle name="Normal 8 5 6 2 2 2" xfId="17119" xr:uid="{0D1224F6-7862-4100-BBD8-721E8C5FB042}"/>
    <cellStyle name="Normal 8 5 6 2 2 3" xfId="25559" xr:uid="{A3873351-E011-4511-A4F9-CA664F8BBB60}"/>
    <cellStyle name="Normal 8 5 6 2 3" xfId="12901" xr:uid="{9843E191-0FD0-49C4-9905-FE84417DEE19}"/>
    <cellStyle name="Normal 8 5 6 2 4" xfId="21342" xr:uid="{FAD3AB83-9954-4701-AABC-F3C3621E4B3F}"/>
    <cellStyle name="Normal 8 5 6 3" xfId="6524" xr:uid="{00000000-0005-0000-0000-0000431E0000}"/>
    <cellStyle name="Normal 8 5 6 3 2" xfId="14974" xr:uid="{16A4FCA7-8425-455E-BCF7-41C76505F37C}"/>
    <cellStyle name="Normal 8 5 6 3 3" xfId="23414" xr:uid="{8470EC80-8815-4363-87C9-96DBF7667D96}"/>
    <cellStyle name="Normal 8 5 6 4" xfId="10756" xr:uid="{594C3F2C-E21F-4045-B375-768F17FD58BF}"/>
    <cellStyle name="Normal 8 5 6 5" xfId="19197" xr:uid="{87474B41-E612-4409-90AF-BAABFDCD3C2D}"/>
    <cellStyle name="Normal 8 5 7" xfId="2654" xr:uid="{00000000-0005-0000-0000-0000441E0000}"/>
    <cellStyle name="Normal 8 5 7 2" xfId="6937" xr:uid="{00000000-0005-0000-0000-0000451E0000}"/>
    <cellStyle name="Normal 8 5 7 2 2" xfId="15387" xr:uid="{15EED1D5-FC39-4CE3-A0E8-F88A8EC1CF7C}"/>
    <cellStyle name="Normal 8 5 7 2 3" xfId="23827" xr:uid="{86FD923C-44CA-49F7-AD20-358623A0E26D}"/>
    <cellStyle name="Normal 8 5 7 3" xfId="11169" xr:uid="{B98BC8B0-AE2A-4911-88CA-D775C6DB26C0}"/>
    <cellStyle name="Normal 8 5 7 4" xfId="19610" xr:uid="{0474B8A3-D69E-4D12-9886-7F46DD6BF48B}"/>
    <cellStyle name="Normal 8 5 8" xfId="4872" xr:uid="{00000000-0005-0000-0000-0000461E0000}"/>
    <cellStyle name="Normal 8 5 8 2" xfId="13322" xr:uid="{D3170CCA-25E9-4691-AE7D-8ADADA695DE0}"/>
    <cellStyle name="Normal 8 5 8 3" xfId="21762" xr:uid="{9B9E3A1A-991A-42F7-B26D-1E48F91D955B}"/>
    <cellStyle name="Normal 8 5 9" xfId="9104" xr:uid="{B41ECB39-5511-437D-8C58-1A1A927DE758}"/>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ABEA1D30-106A-4D5B-BA95-8D37420AD4EC}"/>
    <cellStyle name="Normal 8 6 2 2 2 3" xfId="24322" xr:uid="{01F3CA14-AD36-4262-B378-22630F6E2029}"/>
    <cellStyle name="Normal 8 6 2 2 3" xfId="11664" xr:uid="{2CC3CB7A-E314-4A65-8FC0-9CA27BB1BCE9}"/>
    <cellStyle name="Normal 8 6 2 2 4" xfId="20105" xr:uid="{A263077E-F721-432B-A391-D3869EEB4800}"/>
    <cellStyle name="Normal 8 6 2 3" xfId="5287" xr:uid="{00000000-0005-0000-0000-00004B1E0000}"/>
    <cellStyle name="Normal 8 6 2 3 2" xfId="13737" xr:uid="{825E94B2-099A-498A-8277-578A98999C8B}"/>
    <cellStyle name="Normal 8 6 2 3 3" xfId="22177" xr:uid="{3C7A535D-A010-4184-9E8C-5E7481DC3B55}"/>
    <cellStyle name="Normal 8 6 2 4" xfId="9519" xr:uid="{9FDFF433-C71E-4FA0-89ED-70ADD97BFF7D}"/>
    <cellStyle name="Normal 8 6 2 5" xfId="17960" xr:uid="{491480EF-9A55-4647-BB41-98E8E4691F99}"/>
    <cellStyle name="Normal 8 6 3" xfId="1393" xr:uid="{00000000-0005-0000-0000-00004C1E0000}"/>
    <cellStyle name="Normal 8 6 3 2" xfId="3623" xr:uid="{00000000-0005-0000-0000-00004D1E0000}"/>
    <cellStyle name="Normal 8 6 3 2 2" xfId="7845" xr:uid="{00000000-0005-0000-0000-00004E1E0000}"/>
    <cellStyle name="Normal 8 6 3 2 2 2" xfId="16295" xr:uid="{87E3F7D3-B2B9-4688-8801-477B3F6794B2}"/>
    <cellStyle name="Normal 8 6 3 2 2 3" xfId="24735" xr:uid="{003A79BC-033C-4C67-97A7-B652D0591D59}"/>
    <cellStyle name="Normal 8 6 3 2 3" xfId="12077" xr:uid="{87928B8B-31A0-4978-9764-32187B97AE10}"/>
    <cellStyle name="Normal 8 6 3 2 4" xfId="20518" xr:uid="{24F4B337-AF7D-42D4-B449-A2B8E27587BF}"/>
    <cellStyle name="Normal 8 6 3 3" xfId="5700" xr:uid="{00000000-0005-0000-0000-00004F1E0000}"/>
    <cellStyle name="Normal 8 6 3 3 2" xfId="14150" xr:uid="{B3EF6842-D35B-4622-8379-F3401E8C1955}"/>
    <cellStyle name="Normal 8 6 3 3 3" xfId="22590" xr:uid="{7421CD78-E063-4A21-A2DE-3A2B8212C837}"/>
    <cellStyle name="Normal 8 6 3 4" xfId="9932" xr:uid="{E7346FE3-76EA-4D88-AD38-50D5CB4125F9}"/>
    <cellStyle name="Normal 8 6 3 5" xfId="18373" xr:uid="{BF44FABD-30B2-411F-9699-E3AC2D89AD94}"/>
    <cellStyle name="Normal 8 6 4" xfId="1806" xr:uid="{00000000-0005-0000-0000-0000501E0000}"/>
    <cellStyle name="Normal 8 6 4 2" xfId="4036" xr:uid="{00000000-0005-0000-0000-0000511E0000}"/>
    <cellStyle name="Normal 8 6 4 2 2" xfId="8258" xr:uid="{00000000-0005-0000-0000-0000521E0000}"/>
    <cellStyle name="Normal 8 6 4 2 2 2" xfId="16708" xr:uid="{65DD696F-461C-47CB-ABC4-B04B45F93F7B}"/>
    <cellStyle name="Normal 8 6 4 2 2 3" xfId="25148" xr:uid="{ABED547E-8C93-4FB9-A304-C53ADEB72644}"/>
    <cellStyle name="Normal 8 6 4 2 3" xfId="12490" xr:uid="{61C637FB-24FD-4729-AA10-A6D7382209D8}"/>
    <cellStyle name="Normal 8 6 4 2 4" xfId="20931" xr:uid="{CD580164-34A1-40CE-8944-724B2DF0B8A3}"/>
    <cellStyle name="Normal 8 6 4 3" xfId="6113" xr:uid="{00000000-0005-0000-0000-0000531E0000}"/>
    <cellStyle name="Normal 8 6 4 3 2" xfId="14563" xr:uid="{1523AE72-43F8-401D-9FDA-B565D2D62D5D}"/>
    <cellStyle name="Normal 8 6 4 3 3" xfId="23003" xr:uid="{B77D0B4C-12FE-41D0-955E-8F57F786C4FA}"/>
    <cellStyle name="Normal 8 6 4 4" xfId="10345" xr:uid="{BE9D1724-F422-4255-BA4B-8D2867B02E15}"/>
    <cellStyle name="Normal 8 6 4 5" xfId="18786" xr:uid="{3C177F8E-BCA3-4E7E-8BD1-864D977E243C}"/>
    <cellStyle name="Normal 8 6 5" xfId="2220" xr:uid="{00000000-0005-0000-0000-0000541E0000}"/>
    <cellStyle name="Normal 8 6 5 2" xfId="4449" xr:uid="{00000000-0005-0000-0000-0000551E0000}"/>
    <cellStyle name="Normal 8 6 5 2 2" xfId="8671" xr:uid="{00000000-0005-0000-0000-0000561E0000}"/>
    <cellStyle name="Normal 8 6 5 2 2 2" xfId="17121" xr:uid="{E1116D40-5375-43FF-B27F-785FBD23C3C8}"/>
    <cellStyle name="Normal 8 6 5 2 2 3" xfId="25561" xr:uid="{64C8BC39-3617-4DDF-8A9E-B8FB5BF1701B}"/>
    <cellStyle name="Normal 8 6 5 2 3" xfId="12903" xr:uid="{B1F491DA-9377-40B6-9E32-74017F2350FD}"/>
    <cellStyle name="Normal 8 6 5 2 4" xfId="21344" xr:uid="{68F67A5F-8886-4443-B70D-15F7ED21325F}"/>
    <cellStyle name="Normal 8 6 5 3" xfId="6526" xr:uid="{00000000-0005-0000-0000-0000571E0000}"/>
    <cellStyle name="Normal 8 6 5 3 2" xfId="14976" xr:uid="{52862145-DABB-4E36-823E-E1D961ED3658}"/>
    <cellStyle name="Normal 8 6 5 3 3" xfId="23416" xr:uid="{D7B4CF91-8F5C-4442-A4FC-93AC5ABCA5CC}"/>
    <cellStyle name="Normal 8 6 5 4" xfId="10758" xr:uid="{E33F58DA-70FA-4E73-8D10-294FA1DFF94C}"/>
    <cellStyle name="Normal 8 6 5 5" xfId="19199" xr:uid="{1455841F-71F5-4FD6-97C8-CB5373B4111D}"/>
    <cellStyle name="Normal 8 6 6" xfId="2656" xr:uid="{00000000-0005-0000-0000-0000581E0000}"/>
    <cellStyle name="Normal 8 6 6 2" xfId="6939" xr:uid="{00000000-0005-0000-0000-0000591E0000}"/>
    <cellStyle name="Normal 8 6 6 2 2" xfId="15389" xr:uid="{8FA1265D-FB47-4033-967C-C7E18CCE3371}"/>
    <cellStyle name="Normal 8 6 6 2 3" xfId="23829" xr:uid="{DDA204EF-7CA0-45B8-8A89-7D7962E8683B}"/>
    <cellStyle name="Normal 8 6 6 3" xfId="11171" xr:uid="{A0D2A47F-CDB9-4934-B449-531D0415F562}"/>
    <cellStyle name="Normal 8 6 6 4" xfId="19612" xr:uid="{ED9A05F0-14A2-4135-8F1B-52DA9BBD2846}"/>
    <cellStyle name="Normal 8 6 7" xfId="4874" xr:uid="{00000000-0005-0000-0000-00005A1E0000}"/>
    <cellStyle name="Normal 8 6 7 2" xfId="13324" xr:uid="{D32F9CEB-58E5-438D-9819-6E0EEFBE55BB}"/>
    <cellStyle name="Normal 8 6 7 3" xfId="21764" xr:uid="{B5B15596-4D4D-4BBD-B99D-644CE4A99879}"/>
    <cellStyle name="Normal 8 6 8" xfId="9106" xr:uid="{D8F70494-3E3D-4E14-9E5B-06414719FB3F}"/>
    <cellStyle name="Normal 8 6 9" xfId="17547" xr:uid="{D608EEF0-FA3B-46FE-B2AD-865485734717}"/>
    <cellStyle name="Normal 8 7" xfId="945" xr:uid="{00000000-0005-0000-0000-00005B1E0000}"/>
    <cellStyle name="Normal 8 7 2" xfId="3179" xr:uid="{00000000-0005-0000-0000-00005C1E0000}"/>
    <cellStyle name="Normal 8 7 2 2" xfId="7401" xr:uid="{00000000-0005-0000-0000-00005D1E0000}"/>
    <cellStyle name="Normal 8 7 2 2 2" xfId="15851" xr:uid="{6A4CAE51-8A72-405C-90FB-E3880D1AC273}"/>
    <cellStyle name="Normal 8 7 2 2 3" xfId="24291" xr:uid="{44157C5D-75DB-4117-BBE1-BDB00C064530}"/>
    <cellStyle name="Normal 8 7 2 3" xfId="11633" xr:uid="{2AB28FB9-0CCB-4574-B53C-551587126D83}"/>
    <cellStyle name="Normal 8 7 2 4" xfId="20074" xr:uid="{2F97385D-CFD1-4B50-9F1D-FAB116B605CB}"/>
    <cellStyle name="Normal 8 7 3" xfId="5256" xr:uid="{00000000-0005-0000-0000-00005E1E0000}"/>
    <cellStyle name="Normal 8 7 3 2" xfId="13706" xr:uid="{F5B92642-C282-43F8-B0DD-EB78F30BDC51}"/>
    <cellStyle name="Normal 8 7 3 3" xfId="22146" xr:uid="{B295C82D-182F-4D07-BC79-B1BF9DBA29E2}"/>
    <cellStyle name="Normal 8 7 4" xfId="9488" xr:uid="{EB23AD24-10D6-46F1-97C7-E17FA02DB134}"/>
    <cellStyle name="Normal 8 7 5" xfId="17929" xr:uid="{45111E6B-95EE-44A8-99E7-82428EC7A5BB}"/>
    <cellStyle name="Normal 8 8" xfId="1362" xr:uid="{00000000-0005-0000-0000-00005F1E0000}"/>
    <cellStyle name="Normal 8 8 2" xfId="3592" xr:uid="{00000000-0005-0000-0000-0000601E0000}"/>
    <cellStyle name="Normal 8 8 2 2" xfId="7814" xr:uid="{00000000-0005-0000-0000-0000611E0000}"/>
    <cellStyle name="Normal 8 8 2 2 2" xfId="16264" xr:uid="{224EEE6C-1CC1-4F2A-B707-E8E95161BA03}"/>
    <cellStyle name="Normal 8 8 2 2 3" xfId="24704" xr:uid="{D937D46F-E7D5-4A4E-832B-2D74C5B39F15}"/>
    <cellStyle name="Normal 8 8 2 3" xfId="12046" xr:uid="{54F9686A-923E-492B-B709-203AB19D6A50}"/>
    <cellStyle name="Normal 8 8 2 4" xfId="20487" xr:uid="{CD8CB8AE-3660-45E9-B900-F7B35ECB3F06}"/>
    <cellStyle name="Normal 8 8 3" xfId="5669" xr:uid="{00000000-0005-0000-0000-0000621E0000}"/>
    <cellStyle name="Normal 8 8 3 2" xfId="14119" xr:uid="{CF32838E-ED70-401A-AA84-70D61C1B9E4A}"/>
    <cellStyle name="Normal 8 8 3 3" xfId="22559" xr:uid="{F465BB89-2D39-4620-BFDA-3E235D5A434F}"/>
    <cellStyle name="Normal 8 8 4" xfId="9901" xr:uid="{522965AB-9158-4838-9CF1-7A4666B26ED0}"/>
    <cellStyle name="Normal 8 8 5" xfId="18342" xr:uid="{ABC272C9-EDD6-41EA-963B-A398CD0FFC96}"/>
    <cellStyle name="Normal 8 9" xfId="1775" xr:uid="{00000000-0005-0000-0000-0000631E0000}"/>
    <cellStyle name="Normal 8 9 2" xfId="4005" xr:uid="{00000000-0005-0000-0000-0000641E0000}"/>
    <cellStyle name="Normal 8 9 2 2" xfId="8227" xr:uid="{00000000-0005-0000-0000-0000651E0000}"/>
    <cellStyle name="Normal 8 9 2 2 2" xfId="16677" xr:uid="{897D3F46-5090-4A8C-9FAD-AE03581AC3E9}"/>
    <cellStyle name="Normal 8 9 2 2 3" xfId="25117" xr:uid="{B5BF06EE-2C9C-4A75-9E40-40634B38A1FA}"/>
    <cellStyle name="Normal 8 9 2 3" xfId="12459" xr:uid="{9DA81D13-4D00-4254-8E17-705DD5A8FD28}"/>
    <cellStyle name="Normal 8 9 2 4" xfId="20900" xr:uid="{25A3A0A4-8D2F-46FE-99E9-F22688A57E21}"/>
    <cellStyle name="Normal 8 9 3" xfId="6082" xr:uid="{00000000-0005-0000-0000-0000661E0000}"/>
    <cellStyle name="Normal 8 9 3 2" xfId="14532" xr:uid="{CFD44DEA-14C9-453D-89A6-EF496EB4068F}"/>
    <cellStyle name="Normal 8 9 3 3" xfId="22972" xr:uid="{24DD9E61-A066-4D40-AFE4-EAC5F1C27101}"/>
    <cellStyle name="Normal 8 9 4" xfId="10314" xr:uid="{A75E54C1-423E-4EB2-A2E6-83D150268C27}"/>
    <cellStyle name="Normal 8 9 5" xfId="18755" xr:uid="{5C2C70C0-1662-44C0-82D3-959BF654CC3C}"/>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EEB79BEF-5CA4-413B-8497-3B25316A4502}"/>
    <cellStyle name="Normal 9 2 10 2 3" xfId="23830" xr:uid="{C391E416-1FEB-42AE-9BE3-ABA4F2610E5F}"/>
    <cellStyle name="Normal 9 2 10 3" xfId="11172" xr:uid="{47CC9F3E-B910-472E-928B-1D3B3716D238}"/>
    <cellStyle name="Normal 9 2 10 4" xfId="19613" xr:uid="{9C5E8EF4-E0BD-4230-8693-8B82008C5ED8}"/>
    <cellStyle name="Normal 9 2 11" xfId="4875" xr:uid="{00000000-0005-0000-0000-00006B1E0000}"/>
    <cellStyle name="Normal 9 2 11 2" xfId="13325" xr:uid="{E6DBE956-4A71-4AA7-AAFA-1AA8897102E1}"/>
    <cellStyle name="Normal 9 2 11 3" xfId="21765" xr:uid="{519A8522-C0E0-4010-8D1E-51F9D714B4B4}"/>
    <cellStyle name="Normal 9 2 12" xfId="9107" xr:uid="{E6CE778E-220A-468C-A327-4CA485FC7EFB}"/>
    <cellStyle name="Normal 9 2 13" xfId="17548" xr:uid="{4FE85D8F-7108-483D-B18F-28231ED1439D}"/>
    <cellStyle name="Normal 9 2 2" xfId="512" xr:uid="{00000000-0005-0000-0000-00006C1E0000}"/>
    <cellStyle name="Normal 9 2 2 10" xfId="4876" xr:uid="{00000000-0005-0000-0000-00006D1E0000}"/>
    <cellStyle name="Normal 9 2 2 10 2" xfId="13326" xr:uid="{AC663C89-C218-473D-88F4-6A3BAC309C04}"/>
    <cellStyle name="Normal 9 2 2 10 3" xfId="21766" xr:uid="{B3069A9A-FBF9-44B8-8F51-0737AE5AA522}"/>
    <cellStyle name="Normal 9 2 2 11" xfId="9108" xr:uid="{3019727D-279F-40D4-AC46-BF21CCAFAEA0}"/>
    <cellStyle name="Normal 9 2 2 12" xfId="17549" xr:uid="{A124640A-477F-4622-9854-26C09DFA100B}"/>
    <cellStyle name="Normal 9 2 2 2" xfId="513" xr:uid="{00000000-0005-0000-0000-00006E1E0000}"/>
    <cellStyle name="Normal 9 2 2 2 10" xfId="9109" xr:uid="{A500C77C-78A4-40D7-8C61-E2BF514F4369}"/>
    <cellStyle name="Normal 9 2 2 2 11" xfId="17550" xr:uid="{27531F9E-D90B-41D2-9209-3D82158993B2}"/>
    <cellStyle name="Normal 9 2 2 2 2" xfId="514" xr:uid="{00000000-0005-0000-0000-00006F1E0000}"/>
    <cellStyle name="Normal 9 2 2 2 2 10" xfId="17551" xr:uid="{8446FBC1-E416-4BD9-BB65-7E968DF2024F}"/>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60557783-6E35-4980-94F4-593ED9B5BE5C}"/>
    <cellStyle name="Normal 9 2 2 2 2 2 2 2 2 3" xfId="24327" xr:uid="{39F9232D-B221-4B94-A63F-0AEBECB3D8EB}"/>
    <cellStyle name="Normal 9 2 2 2 2 2 2 2 3" xfId="11669" xr:uid="{5A7901B2-363D-44B4-A679-AFEEEFA9E17C}"/>
    <cellStyle name="Normal 9 2 2 2 2 2 2 2 4" xfId="20110" xr:uid="{B54B540A-FEF9-4079-8F70-300BA8E058A8}"/>
    <cellStyle name="Normal 9 2 2 2 2 2 2 3" xfId="5292" xr:uid="{00000000-0005-0000-0000-0000741E0000}"/>
    <cellStyle name="Normal 9 2 2 2 2 2 2 3 2" xfId="13742" xr:uid="{91797108-6830-4F4F-ABC6-FF363C4512D4}"/>
    <cellStyle name="Normal 9 2 2 2 2 2 2 3 3" xfId="22182" xr:uid="{88B9D0CC-F6B7-4779-BF85-83D9DCA9E174}"/>
    <cellStyle name="Normal 9 2 2 2 2 2 2 4" xfId="9524" xr:uid="{57999760-F8C6-4259-B181-6AC8F1ABC269}"/>
    <cellStyle name="Normal 9 2 2 2 2 2 2 5" xfId="17965" xr:uid="{4DE30C50-F28D-4DCA-A1B0-79730CEC7852}"/>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5DF9978D-328C-4899-9601-6D6DCFC356D1}"/>
    <cellStyle name="Normal 9 2 2 2 2 2 3 2 2 3" xfId="24740" xr:uid="{2F888331-477C-42D2-8FC7-F7C2F2900CBB}"/>
    <cellStyle name="Normal 9 2 2 2 2 2 3 2 3" xfId="12082" xr:uid="{446A3380-0A78-4BCA-95A9-1D2B66738128}"/>
    <cellStyle name="Normal 9 2 2 2 2 2 3 2 4" xfId="20523" xr:uid="{4EB8B08A-0595-4C4F-A5F5-49F0207E5678}"/>
    <cellStyle name="Normal 9 2 2 2 2 2 3 3" xfId="5705" xr:uid="{00000000-0005-0000-0000-0000781E0000}"/>
    <cellStyle name="Normal 9 2 2 2 2 2 3 3 2" xfId="14155" xr:uid="{1C85F505-5968-4810-AF9B-9E6C39C5F371}"/>
    <cellStyle name="Normal 9 2 2 2 2 2 3 3 3" xfId="22595" xr:uid="{212B2170-27B9-4B9E-A04D-DFB4A1E4ACD6}"/>
    <cellStyle name="Normal 9 2 2 2 2 2 3 4" xfId="9937" xr:uid="{0E512E0E-4982-4341-AA69-E29FF53DEFC4}"/>
    <cellStyle name="Normal 9 2 2 2 2 2 3 5" xfId="18378" xr:uid="{B8E360FC-F6D4-4D34-A9D5-4E06FBA2282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3A825A8F-3455-4947-92F9-1FEED6612491}"/>
    <cellStyle name="Normal 9 2 2 2 2 2 4 2 2 3" xfId="25153" xr:uid="{2B4513DF-13C3-4457-BC98-41A77B989797}"/>
    <cellStyle name="Normal 9 2 2 2 2 2 4 2 3" xfId="12495" xr:uid="{35F1C60E-CA11-4E6B-B41E-F5447624E96A}"/>
    <cellStyle name="Normal 9 2 2 2 2 2 4 2 4" xfId="20936" xr:uid="{976992B1-84CD-4309-BD2A-1B367DDBE662}"/>
    <cellStyle name="Normal 9 2 2 2 2 2 4 3" xfId="6118" xr:uid="{00000000-0005-0000-0000-00007C1E0000}"/>
    <cellStyle name="Normal 9 2 2 2 2 2 4 3 2" xfId="14568" xr:uid="{26380FC5-FCD2-44FB-B342-6ED6B7C000E1}"/>
    <cellStyle name="Normal 9 2 2 2 2 2 4 3 3" xfId="23008" xr:uid="{2B9D7656-A717-492E-93AF-2C39170F09E6}"/>
    <cellStyle name="Normal 9 2 2 2 2 2 4 4" xfId="10350" xr:uid="{5031509F-46FB-4D23-9FEF-DCC2AC08E78E}"/>
    <cellStyle name="Normal 9 2 2 2 2 2 4 5" xfId="18791" xr:uid="{9367A2CA-0673-49CF-9047-3C51366487B2}"/>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25F86AE9-4D18-4717-82BE-7F60712C1F12}"/>
    <cellStyle name="Normal 9 2 2 2 2 2 5 2 2 3" xfId="25566" xr:uid="{B73F0F7F-7772-4988-AD3A-487FE7498420}"/>
    <cellStyle name="Normal 9 2 2 2 2 2 5 2 3" xfId="12908" xr:uid="{47BF044C-8EF9-448C-84CF-D0A7C59A175E}"/>
    <cellStyle name="Normal 9 2 2 2 2 2 5 2 4" xfId="21349" xr:uid="{F77F379C-B4B9-4EF2-897F-E2E9967D8319}"/>
    <cellStyle name="Normal 9 2 2 2 2 2 5 3" xfId="6531" xr:uid="{00000000-0005-0000-0000-0000801E0000}"/>
    <cellStyle name="Normal 9 2 2 2 2 2 5 3 2" xfId="14981" xr:uid="{DE85E166-0FA1-4340-B161-16A88717D87E}"/>
    <cellStyle name="Normal 9 2 2 2 2 2 5 3 3" xfId="23421" xr:uid="{0AB97E90-65A8-4F3F-B615-0E46720147BF}"/>
    <cellStyle name="Normal 9 2 2 2 2 2 5 4" xfId="10763" xr:uid="{53244DDF-BE83-4041-BA2F-3A5B1EDDB915}"/>
    <cellStyle name="Normal 9 2 2 2 2 2 5 5" xfId="19204" xr:uid="{B88A692B-FFA4-41F7-AA1D-3376AEE4AB75}"/>
    <cellStyle name="Normal 9 2 2 2 2 2 6" xfId="2661" xr:uid="{00000000-0005-0000-0000-0000811E0000}"/>
    <cellStyle name="Normal 9 2 2 2 2 2 6 2" xfId="6944" xr:uid="{00000000-0005-0000-0000-0000821E0000}"/>
    <cellStyle name="Normal 9 2 2 2 2 2 6 2 2" xfId="15394" xr:uid="{49B82E3F-3619-4EB9-9FD1-1A566F892B8C}"/>
    <cellStyle name="Normal 9 2 2 2 2 2 6 2 3" xfId="23834" xr:uid="{A5A756D6-2AA6-49EB-8E8B-85746C244885}"/>
    <cellStyle name="Normal 9 2 2 2 2 2 6 3" xfId="11176" xr:uid="{469F4EF0-C3DF-48EC-812F-9B2D19D4E8FD}"/>
    <cellStyle name="Normal 9 2 2 2 2 2 6 4" xfId="19617" xr:uid="{3322B29D-0A19-4216-B364-2600735D89DC}"/>
    <cellStyle name="Normal 9 2 2 2 2 2 7" xfId="4879" xr:uid="{00000000-0005-0000-0000-0000831E0000}"/>
    <cellStyle name="Normal 9 2 2 2 2 2 7 2" xfId="13329" xr:uid="{F5D5369C-A674-497E-866C-30D2B21D2A7A}"/>
    <cellStyle name="Normal 9 2 2 2 2 2 7 3" xfId="21769" xr:uid="{47D9DA86-3574-48B2-AFE5-9263E3BF778B}"/>
    <cellStyle name="Normal 9 2 2 2 2 2 8" xfId="9111" xr:uid="{B4691B52-0E80-44EB-9FAA-5F9F4F08FF37}"/>
    <cellStyle name="Normal 9 2 2 2 2 2 9" xfId="17552" xr:uid="{7C5613A6-2856-447C-8F74-9A9699A0842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08C7E742-6235-40CF-A550-1BB99C332ED5}"/>
    <cellStyle name="Normal 9 2 2 2 2 3 2 2 3" xfId="24326" xr:uid="{CC63CA5C-82DF-44E3-BA41-0D5EF6B7564E}"/>
    <cellStyle name="Normal 9 2 2 2 2 3 2 3" xfId="11668" xr:uid="{BF814FB0-30D9-4F04-89CC-E60A3208C76C}"/>
    <cellStyle name="Normal 9 2 2 2 2 3 2 4" xfId="20109" xr:uid="{42E378F3-9AC6-431A-A3F2-BC7AE86A04AA}"/>
    <cellStyle name="Normal 9 2 2 2 2 3 3" xfId="5291" xr:uid="{00000000-0005-0000-0000-0000871E0000}"/>
    <cellStyle name="Normal 9 2 2 2 2 3 3 2" xfId="13741" xr:uid="{9F49FF72-60C8-4A42-9083-471DC9785577}"/>
    <cellStyle name="Normal 9 2 2 2 2 3 3 3" xfId="22181" xr:uid="{08EFB285-0DAD-4186-9656-64FB66E48861}"/>
    <cellStyle name="Normal 9 2 2 2 2 3 4" xfId="9523" xr:uid="{743DF3F6-AFC5-4765-8853-D15CB4806060}"/>
    <cellStyle name="Normal 9 2 2 2 2 3 5" xfId="17964" xr:uid="{F7884969-3099-4A92-8007-A59DC43F2546}"/>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CDA809E3-0094-4161-9A87-38E18A5DDB10}"/>
    <cellStyle name="Normal 9 2 2 2 2 4 2 2 3" xfId="24739" xr:uid="{D06E3495-611A-4BAA-92B1-9B2816A52C7C}"/>
    <cellStyle name="Normal 9 2 2 2 2 4 2 3" xfId="12081" xr:uid="{309F6EF1-A803-42CD-8DF8-BF7E8FDFB857}"/>
    <cellStyle name="Normal 9 2 2 2 2 4 2 4" xfId="20522" xr:uid="{69E9C588-43F6-4A7E-84F6-4AB08757F9FC}"/>
    <cellStyle name="Normal 9 2 2 2 2 4 3" xfId="5704" xr:uid="{00000000-0005-0000-0000-00008B1E0000}"/>
    <cellStyle name="Normal 9 2 2 2 2 4 3 2" xfId="14154" xr:uid="{22FEC569-8DD1-4BC1-A54C-B47219E40305}"/>
    <cellStyle name="Normal 9 2 2 2 2 4 3 3" xfId="22594" xr:uid="{DD667DC0-1047-4571-8586-C0F3BD0B7DB9}"/>
    <cellStyle name="Normal 9 2 2 2 2 4 4" xfId="9936" xr:uid="{54B23CBA-66F1-4C35-8E3D-5ECC94C60CF4}"/>
    <cellStyle name="Normal 9 2 2 2 2 4 5" xfId="18377" xr:uid="{D7D461B5-64D5-4B12-BE3D-021E7C4BDFA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F51E7C73-5BAA-4807-868C-8C961C5DFDCE}"/>
    <cellStyle name="Normal 9 2 2 2 2 5 2 2 3" xfId="25152" xr:uid="{BF31C2D0-D884-4A5A-B4A9-7AF66F565CA6}"/>
    <cellStyle name="Normal 9 2 2 2 2 5 2 3" xfId="12494" xr:uid="{931759AE-C6E3-4078-8A47-CCB934E05D84}"/>
    <cellStyle name="Normal 9 2 2 2 2 5 2 4" xfId="20935" xr:uid="{D8A2D9FE-5A5C-4DF0-9250-9E74261CA709}"/>
    <cellStyle name="Normal 9 2 2 2 2 5 3" xfId="6117" xr:uid="{00000000-0005-0000-0000-00008F1E0000}"/>
    <cellStyle name="Normal 9 2 2 2 2 5 3 2" xfId="14567" xr:uid="{0C8CAFBE-EEBF-4D33-BD5D-831781901162}"/>
    <cellStyle name="Normal 9 2 2 2 2 5 3 3" xfId="23007" xr:uid="{67549BE7-A750-470A-A4F7-BA589572CEDD}"/>
    <cellStyle name="Normal 9 2 2 2 2 5 4" xfId="10349" xr:uid="{6D60F3F9-4FAE-469A-8219-BC7A6AE82C59}"/>
    <cellStyle name="Normal 9 2 2 2 2 5 5" xfId="18790" xr:uid="{07190544-3262-47C9-8D8D-821F7B7C162D}"/>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AD00F753-45B1-405B-A0CE-38B602930811}"/>
    <cellStyle name="Normal 9 2 2 2 2 6 2 2 3" xfId="25565" xr:uid="{F4F8DD71-740A-416A-BF45-A9C0AA1F72BD}"/>
    <cellStyle name="Normal 9 2 2 2 2 6 2 3" xfId="12907" xr:uid="{692EECD9-0EE1-4B87-A170-55DF79EC95BD}"/>
    <cellStyle name="Normal 9 2 2 2 2 6 2 4" xfId="21348" xr:uid="{C9EBFBE8-9252-4F3A-BF0E-92F87B558142}"/>
    <cellStyle name="Normal 9 2 2 2 2 6 3" xfId="6530" xr:uid="{00000000-0005-0000-0000-0000931E0000}"/>
    <cellStyle name="Normal 9 2 2 2 2 6 3 2" xfId="14980" xr:uid="{C59B6F02-7CE2-4E89-AB4B-51A71FD6FE05}"/>
    <cellStyle name="Normal 9 2 2 2 2 6 3 3" xfId="23420" xr:uid="{FB6DE9F5-CB69-4634-A349-DDDAD74EAAE4}"/>
    <cellStyle name="Normal 9 2 2 2 2 6 4" xfId="10762" xr:uid="{3EED6FD2-274E-43F9-9914-1D200FBF6D95}"/>
    <cellStyle name="Normal 9 2 2 2 2 6 5" xfId="19203" xr:uid="{CCA52612-BE4D-4ECE-8B24-F845A82D08A0}"/>
    <cellStyle name="Normal 9 2 2 2 2 7" xfId="2660" xr:uid="{00000000-0005-0000-0000-0000941E0000}"/>
    <cellStyle name="Normal 9 2 2 2 2 7 2" xfId="6943" xr:uid="{00000000-0005-0000-0000-0000951E0000}"/>
    <cellStyle name="Normal 9 2 2 2 2 7 2 2" xfId="15393" xr:uid="{D8879B8D-CA10-4E19-83F0-8BC153097A45}"/>
    <cellStyle name="Normal 9 2 2 2 2 7 2 3" xfId="23833" xr:uid="{C844F2A6-4DAC-4C3F-A0FF-365B1A68BB1A}"/>
    <cellStyle name="Normal 9 2 2 2 2 7 3" xfId="11175" xr:uid="{3EBE3364-034D-4EC3-87D5-6C7A0BFA9743}"/>
    <cellStyle name="Normal 9 2 2 2 2 7 4" xfId="19616" xr:uid="{8EAF1849-3D41-4175-930F-454F77B6A643}"/>
    <cellStyle name="Normal 9 2 2 2 2 8" xfId="4878" xr:uid="{00000000-0005-0000-0000-0000961E0000}"/>
    <cellStyle name="Normal 9 2 2 2 2 8 2" xfId="13328" xr:uid="{A96E6917-C413-47CF-9590-142E4524D6C4}"/>
    <cellStyle name="Normal 9 2 2 2 2 8 3" xfId="21768" xr:uid="{223EFE7B-E367-4903-A53D-312491A6B40D}"/>
    <cellStyle name="Normal 9 2 2 2 2 9" xfId="9110" xr:uid="{8F818EA9-B477-4730-87BC-E65295B2AEF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04330CD4-2248-4748-973F-4317D980A964}"/>
    <cellStyle name="Normal 9 2 2 2 3 2 2 2 3" xfId="24328" xr:uid="{ED02B4A4-6423-4200-881D-5D61F865C6CF}"/>
    <cellStyle name="Normal 9 2 2 2 3 2 2 3" xfId="11670" xr:uid="{9D0A01D4-06DB-42F5-B7F4-B1EB4531E17E}"/>
    <cellStyle name="Normal 9 2 2 2 3 2 2 4" xfId="20111" xr:uid="{AC590861-CC4F-4430-9050-BB85ACF1E37D}"/>
    <cellStyle name="Normal 9 2 2 2 3 2 3" xfId="5293" xr:uid="{00000000-0005-0000-0000-00009B1E0000}"/>
    <cellStyle name="Normal 9 2 2 2 3 2 3 2" xfId="13743" xr:uid="{244E96A2-F1F5-4E60-9577-00D2CAE330EF}"/>
    <cellStyle name="Normal 9 2 2 2 3 2 3 3" xfId="22183" xr:uid="{46F5BBEE-B139-469C-A173-0F528780DEFF}"/>
    <cellStyle name="Normal 9 2 2 2 3 2 4" xfId="9525" xr:uid="{42FB2DF3-4859-4536-A20A-CB383CAB1F23}"/>
    <cellStyle name="Normal 9 2 2 2 3 2 5" xfId="17966" xr:uid="{AF42FECF-EC85-400B-BB84-AF1E35BC216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6EEA7F18-63A6-4580-BB42-210CA6E91602}"/>
    <cellStyle name="Normal 9 2 2 2 3 3 2 2 3" xfId="24741" xr:uid="{D7BC76A5-B071-4B27-BEE7-A2E60C2488FE}"/>
    <cellStyle name="Normal 9 2 2 2 3 3 2 3" xfId="12083" xr:uid="{C02A531D-5D11-4027-9446-ABCECB194AC5}"/>
    <cellStyle name="Normal 9 2 2 2 3 3 2 4" xfId="20524" xr:uid="{29356242-F928-4205-B15B-9129F591A0AA}"/>
    <cellStyle name="Normal 9 2 2 2 3 3 3" xfId="5706" xr:uid="{00000000-0005-0000-0000-00009F1E0000}"/>
    <cellStyle name="Normal 9 2 2 2 3 3 3 2" xfId="14156" xr:uid="{C87B2D55-EC8D-42BF-BBA7-1C51215CBCF2}"/>
    <cellStyle name="Normal 9 2 2 2 3 3 3 3" xfId="22596" xr:uid="{796A2056-B68E-4FA0-B950-A0AD698F48AF}"/>
    <cellStyle name="Normal 9 2 2 2 3 3 4" xfId="9938" xr:uid="{11AF3695-F5F3-40C2-9F07-A3949E165934}"/>
    <cellStyle name="Normal 9 2 2 2 3 3 5" xfId="18379" xr:uid="{D944E8B6-9ECB-4A51-BCB5-F316CB0A828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DF946FDF-796B-48BF-9AF5-965B18794DF1}"/>
    <cellStyle name="Normal 9 2 2 2 3 4 2 2 3" xfId="25154" xr:uid="{AE56F754-9D93-4FDB-851A-0D605314F941}"/>
    <cellStyle name="Normal 9 2 2 2 3 4 2 3" xfId="12496" xr:uid="{61BEF8C6-5C5E-4485-A074-119BA06C3BD8}"/>
    <cellStyle name="Normal 9 2 2 2 3 4 2 4" xfId="20937" xr:uid="{6DFF14F8-B352-4B88-9817-0069267BAD93}"/>
    <cellStyle name="Normal 9 2 2 2 3 4 3" xfId="6119" xr:uid="{00000000-0005-0000-0000-0000A31E0000}"/>
    <cellStyle name="Normal 9 2 2 2 3 4 3 2" xfId="14569" xr:uid="{6DF566D2-36D5-405A-BD29-128AA12EA7C0}"/>
    <cellStyle name="Normal 9 2 2 2 3 4 3 3" xfId="23009" xr:uid="{D36E8C36-5CAE-43E8-9C89-E3B0DE093DBC}"/>
    <cellStyle name="Normal 9 2 2 2 3 4 4" xfId="10351" xr:uid="{F4CB0B13-EC4F-411B-A493-0DCC1DF327F9}"/>
    <cellStyle name="Normal 9 2 2 2 3 4 5" xfId="18792" xr:uid="{2ED05900-E8ED-4BE9-BBE9-EC01B9114C83}"/>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CF99F95D-BFC7-4BBC-9426-42FE3A4163C3}"/>
    <cellStyle name="Normal 9 2 2 2 3 5 2 2 3" xfId="25567" xr:uid="{423B2036-7A4F-4826-B8D7-3A3F01029C7B}"/>
    <cellStyle name="Normal 9 2 2 2 3 5 2 3" xfId="12909" xr:uid="{D41CA8D9-02D4-488B-8BEB-8F595EC218C9}"/>
    <cellStyle name="Normal 9 2 2 2 3 5 2 4" xfId="21350" xr:uid="{2104886F-905A-47D1-BD38-398D58AFB91C}"/>
    <cellStyle name="Normal 9 2 2 2 3 5 3" xfId="6532" xr:uid="{00000000-0005-0000-0000-0000A71E0000}"/>
    <cellStyle name="Normal 9 2 2 2 3 5 3 2" xfId="14982" xr:uid="{73DE029B-B89E-46FE-BE9F-01CA63C5BDF3}"/>
    <cellStyle name="Normal 9 2 2 2 3 5 3 3" xfId="23422" xr:uid="{820ED560-B123-4BD5-AB81-67627D133CF9}"/>
    <cellStyle name="Normal 9 2 2 2 3 5 4" xfId="10764" xr:uid="{384CE54C-278F-4537-B537-6DC6C78A52AB}"/>
    <cellStyle name="Normal 9 2 2 2 3 5 5" xfId="19205" xr:uid="{CED9883E-3507-45A4-BD00-395DA42EC5A7}"/>
    <cellStyle name="Normal 9 2 2 2 3 6" xfId="2662" xr:uid="{00000000-0005-0000-0000-0000A81E0000}"/>
    <cellStyle name="Normal 9 2 2 2 3 6 2" xfId="6945" xr:uid="{00000000-0005-0000-0000-0000A91E0000}"/>
    <cellStyle name="Normal 9 2 2 2 3 6 2 2" xfId="15395" xr:uid="{B02BF416-4A21-4FB7-918E-CDCDA1EE0F5F}"/>
    <cellStyle name="Normal 9 2 2 2 3 6 2 3" xfId="23835" xr:uid="{4888DE7B-7A60-4ECE-B1D4-903F970B4724}"/>
    <cellStyle name="Normal 9 2 2 2 3 6 3" xfId="11177" xr:uid="{C76B1359-8340-4BC7-851F-F158C53DD47A}"/>
    <cellStyle name="Normal 9 2 2 2 3 6 4" xfId="19618" xr:uid="{0CEF65FC-5B6D-4670-B9C9-B22CB400DF2D}"/>
    <cellStyle name="Normal 9 2 2 2 3 7" xfId="4880" xr:uid="{00000000-0005-0000-0000-0000AA1E0000}"/>
    <cellStyle name="Normal 9 2 2 2 3 7 2" xfId="13330" xr:uid="{6416EC09-A57A-47E5-A5B0-80306A8B92F2}"/>
    <cellStyle name="Normal 9 2 2 2 3 7 3" xfId="21770" xr:uid="{70CEB495-71C9-4674-A73E-E65828AD7C2E}"/>
    <cellStyle name="Normal 9 2 2 2 3 8" xfId="9112" xr:uid="{2FD7E468-114E-4AC0-963C-F62D82B708BF}"/>
    <cellStyle name="Normal 9 2 2 2 3 9" xfId="17553" xr:uid="{6793AD79-7C75-474B-ABEA-97DF526792BB}"/>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BA92DD49-6E9B-4D94-84E9-311D5D039E9D}"/>
    <cellStyle name="Normal 9 2 2 2 4 2 2 3" xfId="24325" xr:uid="{49FA89D8-4BCB-425E-80DC-09464257E939}"/>
    <cellStyle name="Normal 9 2 2 2 4 2 3" xfId="11667" xr:uid="{E774DE16-7F56-40BF-B0F0-3889C986B41E}"/>
    <cellStyle name="Normal 9 2 2 2 4 2 4" xfId="20108" xr:uid="{DD942810-4355-49CD-9F91-75A70D958061}"/>
    <cellStyle name="Normal 9 2 2 2 4 3" xfId="5290" xr:uid="{00000000-0005-0000-0000-0000AE1E0000}"/>
    <cellStyle name="Normal 9 2 2 2 4 3 2" xfId="13740" xr:uid="{73228901-759E-434A-9D2E-4026FB17D0D4}"/>
    <cellStyle name="Normal 9 2 2 2 4 3 3" xfId="22180" xr:uid="{ED079888-CD79-4053-8387-B440E954ABF2}"/>
    <cellStyle name="Normal 9 2 2 2 4 4" xfId="9522" xr:uid="{AA9B7681-2FE8-46E4-934B-74E3094A7ADC}"/>
    <cellStyle name="Normal 9 2 2 2 4 5" xfId="17963" xr:uid="{A59B0B4C-CC44-4681-99D6-9F9909ED7FD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591C16F4-9E04-4804-8FAC-A38CCD15F90E}"/>
    <cellStyle name="Normal 9 2 2 2 5 2 2 3" xfId="24738" xr:uid="{74D83403-516D-4EC3-8101-9778AEEBF9D8}"/>
    <cellStyle name="Normal 9 2 2 2 5 2 3" xfId="12080" xr:uid="{E99EEBC1-02EF-4172-9504-2DF296722A80}"/>
    <cellStyle name="Normal 9 2 2 2 5 2 4" xfId="20521" xr:uid="{186E4E38-714F-4019-92D6-F8D391F72E6C}"/>
    <cellStyle name="Normal 9 2 2 2 5 3" xfId="5703" xr:uid="{00000000-0005-0000-0000-0000B21E0000}"/>
    <cellStyle name="Normal 9 2 2 2 5 3 2" xfId="14153" xr:uid="{BFADC9F0-4EA6-4D74-A87D-82783C7D4289}"/>
    <cellStyle name="Normal 9 2 2 2 5 3 3" xfId="22593" xr:uid="{A58AF03E-8A43-4489-B5D1-15EC563E00B3}"/>
    <cellStyle name="Normal 9 2 2 2 5 4" xfId="9935" xr:uid="{B46DADB4-C9E2-410D-AC2D-FB88B3ED7934}"/>
    <cellStyle name="Normal 9 2 2 2 5 5" xfId="18376" xr:uid="{A02B8219-1785-4F03-AC77-03BA37789554}"/>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E763E73A-151D-45AD-A325-6D36F9EB4D94}"/>
    <cellStyle name="Normal 9 2 2 2 6 2 2 3" xfId="25151" xr:uid="{3E809261-4B3E-4E5D-B47C-D68D30B1EE48}"/>
    <cellStyle name="Normal 9 2 2 2 6 2 3" xfId="12493" xr:uid="{6626278E-9375-40DA-8577-A797F711E3A5}"/>
    <cellStyle name="Normal 9 2 2 2 6 2 4" xfId="20934" xr:uid="{71459654-A6C0-42D1-B14C-3C4A824DEE11}"/>
    <cellStyle name="Normal 9 2 2 2 6 3" xfId="6116" xr:uid="{00000000-0005-0000-0000-0000B61E0000}"/>
    <cellStyle name="Normal 9 2 2 2 6 3 2" xfId="14566" xr:uid="{2355BC24-559A-410C-8228-8106D51643C6}"/>
    <cellStyle name="Normal 9 2 2 2 6 3 3" xfId="23006" xr:uid="{C1965BC9-EB4D-428F-A387-9576764F8DEB}"/>
    <cellStyle name="Normal 9 2 2 2 6 4" xfId="10348" xr:uid="{F32F3C33-ADAB-4E41-88F8-7CD55E980B86}"/>
    <cellStyle name="Normal 9 2 2 2 6 5" xfId="18789" xr:uid="{269246B0-B8DD-4E5A-B8FD-917C6D82277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2BA2E3A5-AE43-4B0B-B499-012A2C0641AE}"/>
    <cellStyle name="Normal 9 2 2 2 7 2 2 3" xfId="25564" xr:uid="{DAC6F248-3374-49CE-9AAE-063124669A52}"/>
    <cellStyle name="Normal 9 2 2 2 7 2 3" xfId="12906" xr:uid="{BA9BF57F-8919-4D9C-9589-649C4773C201}"/>
    <cellStyle name="Normal 9 2 2 2 7 2 4" xfId="21347" xr:uid="{B0780346-4411-44FA-B5A5-D2E54825D201}"/>
    <cellStyle name="Normal 9 2 2 2 7 3" xfId="6529" xr:uid="{00000000-0005-0000-0000-0000BA1E0000}"/>
    <cellStyle name="Normal 9 2 2 2 7 3 2" xfId="14979" xr:uid="{BC42D764-BBA8-418C-AE90-98BD3DCB7938}"/>
    <cellStyle name="Normal 9 2 2 2 7 3 3" xfId="23419" xr:uid="{FB640790-C69A-476A-9F51-2751E510AFD8}"/>
    <cellStyle name="Normal 9 2 2 2 7 4" xfId="10761" xr:uid="{3003E75B-EAAA-49E7-A2DE-0953C1D347C8}"/>
    <cellStyle name="Normal 9 2 2 2 7 5" xfId="19202" xr:uid="{09734752-D5B2-4A01-BC19-2243B0F4EA4D}"/>
    <cellStyle name="Normal 9 2 2 2 8" xfId="2659" xr:uid="{00000000-0005-0000-0000-0000BB1E0000}"/>
    <cellStyle name="Normal 9 2 2 2 8 2" xfId="6942" xr:uid="{00000000-0005-0000-0000-0000BC1E0000}"/>
    <cellStyle name="Normal 9 2 2 2 8 2 2" xfId="15392" xr:uid="{A95522AE-45CD-4914-B43A-D45314ED9BF8}"/>
    <cellStyle name="Normal 9 2 2 2 8 2 3" xfId="23832" xr:uid="{DDCF51FF-DA7D-430D-94FB-DB46507B89AF}"/>
    <cellStyle name="Normal 9 2 2 2 8 3" xfId="11174" xr:uid="{620F32B6-9CF6-49F4-A2F8-4ADF97412366}"/>
    <cellStyle name="Normal 9 2 2 2 8 4" xfId="19615" xr:uid="{944600D3-70B4-4E06-9A81-A6C9421DFE1C}"/>
    <cellStyle name="Normal 9 2 2 2 9" xfId="4877" xr:uid="{00000000-0005-0000-0000-0000BD1E0000}"/>
    <cellStyle name="Normal 9 2 2 2 9 2" xfId="13327" xr:uid="{90FB4F12-E05D-49D8-AEFE-DB386CA4222A}"/>
    <cellStyle name="Normal 9 2 2 2 9 3" xfId="21767" xr:uid="{A1C50264-D613-4248-B6B5-FF9E1240D297}"/>
    <cellStyle name="Normal 9 2 2 3" xfId="517" xr:uid="{00000000-0005-0000-0000-0000BE1E0000}"/>
    <cellStyle name="Normal 9 2 2 3 10" xfId="17554" xr:uid="{035E418D-D552-41CD-980D-2EEA43FF75B4}"/>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DE0F5DB-76C4-45FA-A647-47C63F79AD52}"/>
    <cellStyle name="Normal 9 2 2 3 2 2 2 2 3" xfId="24330" xr:uid="{DF2DEB15-8A92-44B9-94AD-8600A95A13BD}"/>
    <cellStyle name="Normal 9 2 2 3 2 2 2 3" xfId="11672" xr:uid="{8200B797-D1AE-410F-84E5-711AB8F1E13F}"/>
    <cellStyle name="Normal 9 2 2 3 2 2 2 4" xfId="20113" xr:uid="{BDA501F7-079C-4AD1-9BBA-847C8A59EA85}"/>
    <cellStyle name="Normal 9 2 2 3 2 2 3" xfId="5295" xr:uid="{00000000-0005-0000-0000-0000C31E0000}"/>
    <cellStyle name="Normal 9 2 2 3 2 2 3 2" xfId="13745" xr:uid="{B999DAD8-6026-4341-86DA-12E3A54D785A}"/>
    <cellStyle name="Normal 9 2 2 3 2 2 3 3" xfId="22185" xr:uid="{BB7A03CD-8FED-4B18-A96F-8CDF65BFB50B}"/>
    <cellStyle name="Normal 9 2 2 3 2 2 4" xfId="9527" xr:uid="{61301A2E-810E-46FF-A1C4-5BB148A677B2}"/>
    <cellStyle name="Normal 9 2 2 3 2 2 5" xfId="17968" xr:uid="{8EDFD93B-5252-4E3A-B9E1-3BB3627CA623}"/>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CABED007-C007-4E95-9CBE-9E5E52E7A5D9}"/>
    <cellStyle name="Normal 9 2 2 3 2 3 2 2 3" xfId="24743" xr:uid="{0604691D-1665-4DF2-83DD-42621E4BB505}"/>
    <cellStyle name="Normal 9 2 2 3 2 3 2 3" xfId="12085" xr:uid="{679AB6BD-9A76-4E4C-9E92-1A8C3C207E1A}"/>
    <cellStyle name="Normal 9 2 2 3 2 3 2 4" xfId="20526" xr:uid="{2E07C3CE-E57A-4F85-80D9-4F4A18CB6EDE}"/>
    <cellStyle name="Normal 9 2 2 3 2 3 3" xfId="5708" xr:uid="{00000000-0005-0000-0000-0000C71E0000}"/>
    <cellStyle name="Normal 9 2 2 3 2 3 3 2" xfId="14158" xr:uid="{1D5C197B-4A2A-4B98-A898-9FE5A2F2F6EB}"/>
    <cellStyle name="Normal 9 2 2 3 2 3 3 3" xfId="22598" xr:uid="{447BF6DA-C58D-4DD9-B441-B3386F540F3D}"/>
    <cellStyle name="Normal 9 2 2 3 2 3 4" xfId="9940" xr:uid="{B69DF50A-C18D-4BFA-9C4B-DDED4036427B}"/>
    <cellStyle name="Normal 9 2 2 3 2 3 5" xfId="18381" xr:uid="{04FC252C-6BF7-4E47-9D13-7EAC82A7A21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0FDF5893-A7B2-4097-8695-A9E7016F3CEA}"/>
    <cellStyle name="Normal 9 2 2 3 2 4 2 2 3" xfId="25156" xr:uid="{DC297E87-1D59-47A8-B49F-05C1BE4F9AD0}"/>
    <cellStyle name="Normal 9 2 2 3 2 4 2 3" xfId="12498" xr:uid="{D95F6749-BD1C-4CAE-BA56-2EF87AD553B4}"/>
    <cellStyle name="Normal 9 2 2 3 2 4 2 4" xfId="20939" xr:uid="{15F42810-714A-49B2-8363-7F0E56D250FF}"/>
    <cellStyle name="Normal 9 2 2 3 2 4 3" xfId="6121" xr:uid="{00000000-0005-0000-0000-0000CB1E0000}"/>
    <cellStyle name="Normal 9 2 2 3 2 4 3 2" xfId="14571" xr:uid="{661B026E-827D-4A93-A2AC-B211979EC2F3}"/>
    <cellStyle name="Normal 9 2 2 3 2 4 3 3" xfId="23011" xr:uid="{B5E2147F-8642-40C5-8EB2-8F41C9C40808}"/>
    <cellStyle name="Normal 9 2 2 3 2 4 4" xfId="10353" xr:uid="{64BD8CE8-0979-4E54-BC5B-7544CA8AAC58}"/>
    <cellStyle name="Normal 9 2 2 3 2 4 5" xfId="18794" xr:uid="{1BBD4AD8-A7F7-42EB-8F0F-838C8BE26A2E}"/>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FB77C171-21A9-4C3C-B99D-A598CF840557}"/>
    <cellStyle name="Normal 9 2 2 3 2 5 2 2 3" xfId="25569" xr:uid="{34158F54-BF50-4A18-AF58-10301F40FA99}"/>
    <cellStyle name="Normal 9 2 2 3 2 5 2 3" xfId="12911" xr:uid="{DEB08E8C-A629-4541-8562-3ECAD3B5491F}"/>
    <cellStyle name="Normal 9 2 2 3 2 5 2 4" xfId="21352" xr:uid="{7199D93D-D33F-471B-B080-605F7B581A2F}"/>
    <cellStyle name="Normal 9 2 2 3 2 5 3" xfId="6534" xr:uid="{00000000-0005-0000-0000-0000CF1E0000}"/>
    <cellStyle name="Normal 9 2 2 3 2 5 3 2" xfId="14984" xr:uid="{3D72C655-9056-4CCE-B0FE-5EE15938E6E1}"/>
    <cellStyle name="Normal 9 2 2 3 2 5 3 3" xfId="23424" xr:uid="{D9B6DC40-2EE3-4125-B009-8B47DCEE10FD}"/>
    <cellStyle name="Normal 9 2 2 3 2 5 4" xfId="10766" xr:uid="{FAF1466C-E891-4D1D-94CF-56881475961D}"/>
    <cellStyle name="Normal 9 2 2 3 2 5 5" xfId="19207" xr:uid="{1A244782-5231-420B-BA83-57440DEC7AC8}"/>
    <cellStyle name="Normal 9 2 2 3 2 6" xfId="2664" xr:uid="{00000000-0005-0000-0000-0000D01E0000}"/>
    <cellStyle name="Normal 9 2 2 3 2 6 2" xfId="6947" xr:uid="{00000000-0005-0000-0000-0000D11E0000}"/>
    <cellStyle name="Normal 9 2 2 3 2 6 2 2" xfId="15397" xr:uid="{88C7C257-44D4-480D-8CA4-7B791526AF85}"/>
    <cellStyle name="Normal 9 2 2 3 2 6 2 3" xfId="23837" xr:uid="{E7C852D7-52EB-4B6E-B251-FDE7AB3E5F9C}"/>
    <cellStyle name="Normal 9 2 2 3 2 6 3" xfId="11179" xr:uid="{A0CCD092-FD54-4EF7-A15F-2BB6D52F2EE2}"/>
    <cellStyle name="Normal 9 2 2 3 2 6 4" xfId="19620" xr:uid="{CCC0EC2E-419D-405A-9C3E-B4B9AA54B7CE}"/>
    <cellStyle name="Normal 9 2 2 3 2 7" xfId="4882" xr:uid="{00000000-0005-0000-0000-0000D21E0000}"/>
    <cellStyle name="Normal 9 2 2 3 2 7 2" xfId="13332" xr:uid="{DC7309ED-7709-4725-B057-362949F1B238}"/>
    <cellStyle name="Normal 9 2 2 3 2 7 3" xfId="21772" xr:uid="{19C4C811-B5AC-4B14-B6AA-20830CF27A1D}"/>
    <cellStyle name="Normal 9 2 2 3 2 8" xfId="9114" xr:uid="{C932B9EC-A663-4EDB-92E5-73C89AE74035}"/>
    <cellStyle name="Normal 9 2 2 3 2 9" xfId="17555" xr:uid="{1D1F2DEA-E07D-440B-AB97-EEE45999B6BA}"/>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C69B740A-C761-4ED2-88A8-94D26CDC3654}"/>
    <cellStyle name="Normal 9 2 2 3 3 2 2 3" xfId="24329" xr:uid="{6251D6D2-4FD0-4967-AAA0-CFDEF21299F5}"/>
    <cellStyle name="Normal 9 2 2 3 3 2 3" xfId="11671" xr:uid="{1073168D-A7A2-4F11-8956-53209A625B46}"/>
    <cellStyle name="Normal 9 2 2 3 3 2 4" xfId="20112" xr:uid="{20022476-57C5-4336-A089-56D3920D5160}"/>
    <cellStyle name="Normal 9 2 2 3 3 3" xfId="5294" xr:uid="{00000000-0005-0000-0000-0000D61E0000}"/>
    <cellStyle name="Normal 9 2 2 3 3 3 2" xfId="13744" xr:uid="{2DC81FBC-BDDC-4248-AE71-71D9B9AB169E}"/>
    <cellStyle name="Normal 9 2 2 3 3 3 3" xfId="22184" xr:uid="{CC9C1E4E-2902-4865-808F-2A65BF6D8912}"/>
    <cellStyle name="Normal 9 2 2 3 3 4" xfId="9526" xr:uid="{D1B53FBB-09F1-4FF6-BC93-88974EE9C88A}"/>
    <cellStyle name="Normal 9 2 2 3 3 5" xfId="17967" xr:uid="{B543A2E5-0920-49F7-BCFB-FB33AB6C2F61}"/>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4BAD8ED6-53F3-4D6E-B167-217F429DD19E}"/>
    <cellStyle name="Normal 9 2 2 3 4 2 2 3" xfId="24742" xr:uid="{D0A0CB30-93EC-4DD4-B010-F196DDEF39B7}"/>
    <cellStyle name="Normal 9 2 2 3 4 2 3" xfId="12084" xr:uid="{1D8446DF-2618-4870-8831-23906053FEFA}"/>
    <cellStyle name="Normal 9 2 2 3 4 2 4" xfId="20525" xr:uid="{058ED14D-AE21-4E24-94ED-FE041C768020}"/>
    <cellStyle name="Normal 9 2 2 3 4 3" xfId="5707" xr:uid="{00000000-0005-0000-0000-0000DA1E0000}"/>
    <cellStyle name="Normal 9 2 2 3 4 3 2" xfId="14157" xr:uid="{9A45FF78-A5A8-459C-AD2F-B7A786495CCC}"/>
    <cellStyle name="Normal 9 2 2 3 4 3 3" xfId="22597" xr:uid="{03475DD5-C32F-4D6C-81D3-5B4932AD757A}"/>
    <cellStyle name="Normal 9 2 2 3 4 4" xfId="9939" xr:uid="{537D81C6-940A-43B4-93A9-BB482C888AED}"/>
    <cellStyle name="Normal 9 2 2 3 4 5" xfId="18380" xr:uid="{51B127C4-596E-4E36-92D7-6E56F1627937}"/>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D61F306-6A0C-4D11-AFF1-1E824A1FD7B9}"/>
    <cellStyle name="Normal 9 2 2 3 5 2 2 3" xfId="25155" xr:uid="{CD35D01F-A6E8-4378-AC7C-69CCAD3FA0B8}"/>
    <cellStyle name="Normal 9 2 2 3 5 2 3" xfId="12497" xr:uid="{FD233877-9E47-45CA-B56A-E836C7606FEA}"/>
    <cellStyle name="Normal 9 2 2 3 5 2 4" xfId="20938" xr:uid="{C16D64CC-6405-4837-A4E1-E969993DC134}"/>
    <cellStyle name="Normal 9 2 2 3 5 3" xfId="6120" xr:uid="{00000000-0005-0000-0000-0000DE1E0000}"/>
    <cellStyle name="Normal 9 2 2 3 5 3 2" xfId="14570" xr:uid="{B459E212-5F33-4DD3-8B6A-E7E9BBD14C41}"/>
    <cellStyle name="Normal 9 2 2 3 5 3 3" xfId="23010" xr:uid="{7CF33B29-80F1-4DFF-93F3-D23E11F72036}"/>
    <cellStyle name="Normal 9 2 2 3 5 4" xfId="10352" xr:uid="{EC6749C4-89E6-43F2-A804-4D957AFB680B}"/>
    <cellStyle name="Normal 9 2 2 3 5 5" xfId="18793" xr:uid="{4A406697-E41B-46CA-BF8D-FD977F19144C}"/>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51B54549-664C-4624-AE4A-3A1084826D88}"/>
    <cellStyle name="Normal 9 2 2 3 6 2 2 3" xfId="25568" xr:uid="{3214FC4A-F414-42B7-8E57-40F42D49752C}"/>
    <cellStyle name="Normal 9 2 2 3 6 2 3" xfId="12910" xr:uid="{D721E03B-E9ED-4370-8F19-F2FCEF31C765}"/>
    <cellStyle name="Normal 9 2 2 3 6 2 4" xfId="21351" xr:uid="{FA2B0112-13DA-4192-9BAA-2391C18A4F5C}"/>
    <cellStyle name="Normal 9 2 2 3 6 3" xfId="6533" xr:uid="{00000000-0005-0000-0000-0000E21E0000}"/>
    <cellStyle name="Normal 9 2 2 3 6 3 2" xfId="14983" xr:uid="{045BF589-121D-4A09-A41F-9173D6F4F0E7}"/>
    <cellStyle name="Normal 9 2 2 3 6 3 3" xfId="23423" xr:uid="{5EF05DB7-D1CE-44BA-9EF1-D09A57F502F6}"/>
    <cellStyle name="Normal 9 2 2 3 6 4" xfId="10765" xr:uid="{FF29AD99-ED1C-4832-B2DB-884F36646643}"/>
    <cellStyle name="Normal 9 2 2 3 6 5" xfId="19206" xr:uid="{05381DAC-9FDA-49E0-8C35-F05F10E7F495}"/>
    <cellStyle name="Normal 9 2 2 3 7" xfId="2663" xr:uid="{00000000-0005-0000-0000-0000E31E0000}"/>
    <cellStyle name="Normal 9 2 2 3 7 2" xfId="6946" xr:uid="{00000000-0005-0000-0000-0000E41E0000}"/>
    <cellStyle name="Normal 9 2 2 3 7 2 2" xfId="15396" xr:uid="{A9C17A0D-8D46-4EBA-9DB6-5F5D09329E7B}"/>
    <cellStyle name="Normal 9 2 2 3 7 2 3" xfId="23836" xr:uid="{65C56467-0144-4A22-B81A-B786AE295B65}"/>
    <cellStyle name="Normal 9 2 2 3 7 3" xfId="11178" xr:uid="{5D7CA8F2-4B63-4848-91B7-78717DA51BA7}"/>
    <cellStyle name="Normal 9 2 2 3 7 4" xfId="19619" xr:uid="{CCF44822-DC71-441D-BC82-944BC3C0B35D}"/>
    <cellStyle name="Normal 9 2 2 3 8" xfId="4881" xr:uid="{00000000-0005-0000-0000-0000E51E0000}"/>
    <cellStyle name="Normal 9 2 2 3 8 2" xfId="13331" xr:uid="{2E78D363-7535-4278-9CDA-45DF6E1CE838}"/>
    <cellStyle name="Normal 9 2 2 3 8 3" xfId="21771" xr:uid="{E2424ACF-F06D-4D9B-901E-26BCDDDDA196}"/>
    <cellStyle name="Normal 9 2 2 3 9" xfId="9113" xr:uid="{4F843B56-6596-4652-A183-B7AD7135C9C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F0D78B0D-02A6-4063-84A7-CBCBF71E93ED}"/>
    <cellStyle name="Normal 9 2 2 4 2 2 2 3" xfId="24331" xr:uid="{6FC07A53-D270-4138-A4FF-8F7B6B9606F0}"/>
    <cellStyle name="Normal 9 2 2 4 2 2 3" xfId="11673" xr:uid="{C3EBEA2B-EC08-45AE-9C72-23C0E0ADF8BE}"/>
    <cellStyle name="Normal 9 2 2 4 2 2 4" xfId="20114" xr:uid="{BB6BAB50-5042-4582-96D1-5D6AAC4484B6}"/>
    <cellStyle name="Normal 9 2 2 4 2 3" xfId="5296" xr:uid="{00000000-0005-0000-0000-0000EA1E0000}"/>
    <cellStyle name="Normal 9 2 2 4 2 3 2" xfId="13746" xr:uid="{9FF029CC-1CB4-4175-B079-E2821AE42245}"/>
    <cellStyle name="Normal 9 2 2 4 2 3 3" xfId="22186" xr:uid="{70D3812C-6E68-467E-A30B-106FE0087EDB}"/>
    <cellStyle name="Normal 9 2 2 4 2 4" xfId="9528" xr:uid="{46038EA4-E133-4968-914E-A7E69B43AECC}"/>
    <cellStyle name="Normal 9 2 2 4 2 5" xfId="17969" xr:uid="{20C573CA-9ED1-47FD-B61D-4FFDFFA9B063}"/>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17F27E13-0C31-4B3A-ADE9-B9EC1ECAB3A9}"/>
    <cellStyle name="Normal 9 2 2 4 3 2 2 3" xfId="24744" xr:uid="{46A8790A-D3CA-4051-9AA3-CDA3D6161D9E}"/>
    <cellStyle name="Normal 9 2 2 4 3 2 3" xfId="12086" xr:uid="{DC0B6D45-8020-4CE4-99D2-C47D1F65690F}"/>
    <cellStyle name="Normal 9 2 2 4 3 2 4" xfId="20527" xr:uid="{ABEB255C-0A34-4365-A57E-6F4A2D6F0E18}"/>
    <cellStyle name="Normal 9 2 2 4 3 3" xfId="5709" xr:uid="{00000000-0005-0000-0000-0000EE1E0000}"/>
    <cellStyle name="Normal 9 2 2 4 3 3 2" xfId="14159" xr:uid="{D0AF5ED9-4614-42FA-B9FF-0CC230F1B079}"/>
    <cellStyle name="Normal 9 2 2 4 3 3 3" xfId="22599" xr:uid="{07135E66-1E65-41B0-9424-0EA04F37D80A}"/>
    <cellStyle name="Normal 9 2 2 4 3 4" xfId="9941" xr:uid="{9A7294AA-9024-48B7-9DD1-CAC31514AE9B}"/>
    <cellStyle name="Normal 9 2 2 4 3 5" xfId="18382" xr:uid="{3ADBD1EB-3F47-4ED9-AA12-9928B06BA6B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38574760-24BF-4F2E-BEDD-DF3B8E0B1B33}"/>
    <cellStyle name="Normal 9 2 2 4 4 2 2 3" xfId="25157" xr:uid="{941A8D1F-F34E-4CBB-A70E-78C6C3D9EF2C}"/>
    <cellStyle name="Normal 9 2 2 4 4 2 3" xfId="12499" xr:uid="{7F4BD18C-CCA1-4FF4-8BF1-E241A4E71266}"/>
    <cellStyle name="Normal 9 2 2 4 4 2 4" xfId="20940" xr:uid="{40B72A98-4126-4EB7-B7BD-A755AA73472D}"/>
    <cellStyle name="Normal 9 2 2 4 4 3" xfId="6122" xr:uid="{00000000-0005-0000-0000-0000F21E0000}"/>
    <cellStyle name="Normal 9 2 2 4 4 3 2" xfId="14572" xr:uid="{95431D5D-CD57-4C00-80AC-BBF3721E4C1C}"/>
    <cellStyle name="Normal 9 2 2 4 4 3 3" xfId="23012" xr:uid="{5ABE4EB3-E76A-446F-BF32-3DD5C4EE3539}"/>
    <cellStyle name="Normal 9 2 2 4 4 4" xfId="10354" xr:uid="{903D4E22-AD49-44DC-A4FF-4CCF79F5DC26}"/>
    <cellStyle name="Normal 9 2 2 4 4 5" xfId="18795" xr:uid="{165127AC-FB7B-4259-BD25-C8A67893E1B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BD20FFF7-9D50-4761-A9DB-3AD24B5606F6}"/>
    <cellStyle name="Normal 9 2 2 4 5 2 2 3" xfId="25570" xr:uid="{F92C67EF-83FD-468F-9BD0-F7997E6F3EE1}"/>
    <cellStyle name="Normal 9 2 2 4 5 2 3" xfId="12912" xr:uid="{D5E065E4-5248-4A7C-9A82-091278E097F0}"/>
    <cellStyle name="Normal 9 2 2 4 5 2 4" xfId="21353" xr:uid="{0163A72A-59B8-4549-908D-544EA08B687A}"/>
    <cellStyle name="Normal 9 2 2 4 5 3" xfId="6535" xr:uid="{00000000-0005-0000-0000-0000F61E0000}"/>
    <cellStyle name="Normal 9 2 2 4 5 3 2" xfId="14985" xr:uid="{38544A2A-2215-440B-8C67-D764F90370D5}"/>
    <cellStyle name="Normal 9 2 2 4 5 3 3" xfId="23425" xr:uid="{3927E539-7EFE-4198-98C4-4A859B20BAE7}"/>
    <cellStyle name="Normal 9 2 2 4 5 4" xfId="10767" xr:uid="{B29F4B3A-C264-4AE3-BBCE-F38B018E68D3}"/>
    <cellStyle name="Normal 9 2 2 4 5 5" xfId="19208" xr:uid="{AF2A98B5-2F17-4CEA-85A4-F625A390B60B}"/>
    <cellStyle name="Normal 9 2 2 4 6" xfId="2665" xr:uid="{00000000-0005-0000-0000-0000F71E0000}"/>
    <cellStyle name="Normal 9 2 2 4 6 2" xfId="6948" xr:uid="{00000000-0005-0000-0000-0000F81E0000}"/>
    <cellStyle name="Normal 9 2 2 4 6 2 2" xfId="15398" xr:uid="{871B8418-2D62-4498-819C-B9F0FC5C26D3}"/>
    <cellStyle name="Normal 9 2 2 4 6 2 3" xfId="23838" xr:uid="{EC1CAB2E-F846-460E-952B-819F5C926849}"/>
    <cellStyle name="Normal 9 2 2 4 6 3" xfId="11180" xr:uid="{30044354-EF65-4F18-8F10-A1F3E7EE8FAE}"/>
    <cellStyle name="Normal 9 2 2 4 6 4" xfId="19621" xr:uid="{4600F550-0F93-4E65-A058-2553A225813F}"/>
    <cellStyle name="Normal 9 2 2 4 7" xfId="4883" xr:uid="{00000000-0005-0000-0000-0000F91E0000}"/>
    <cellStyle name="Normal 9 2 2 4 7 2" xfId="13333" xr:uid="{B405ABB4-81A8-4645-B079-718A4BECDB8B}"/>
    <cellStyle name="Normal 9 2 2 4 7 3" xfId="21773" xr:uid="{C1605BE9-769A-4751-9706-F89ECA649041}"/>
    <cellStyle name="Normal 9 2 2 4 8" xfId="9115" xr:uid="{4CABBBAD-A3DC-4DB3-A0A5-AFC79B97656E}"/>
    <cellStyle name="Normal 9 2 2 4 9" xfId="17556" xr:uid="{4620AD32-72AF-4C96-99C6-01B415EFA305}"/>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43138D0F-CCC7-476C-BF15-31D50868651E}"/>
    <cellStyle name="Normal 9 2 2 5 2 2 3" xfId="24324" xr:uid="{F3CEF5FB-E82A-4099-8EB9-9B5A706E397B}"/>
    <cellStyle name="Normal 9 2 2 5 2 3" xfId="11666" xr:uid="{8E4BDE88-82D8-40F8-A09D-23252C75E3B8}"/>
    <cellStyle name="Normal 9 2 2 5 2 4" xfId="20107" xr:uid="{A7B4ED0F-9BAE-49CE-889C-E1EC7DDB75BE}"/>
    <cellStyle name="Normal 9 2 2 5 3" xfId="5289" xr:uid="{00000000-0005-0000-0000-0000FD1E0000}"/>
    <cellStyle name="Normal 9 2 2 5 3 2" xfId="13739" xr:uid="{A6C7E4B8-17A7-468E-9A10-587C4EABCC75}"/>
    <cellStyle name="Normal 9 2 2 5 3 3" xfId="22179" xr:uid="{F94CDD2A-1A85-464E-88FF-0F307AC059E2}"/>
    <cellStyle name="Normal 9 2 2 5 4" xfId="9521" xr:uid="{01468A6A-2156-4ABA-A641-F2B79098EFF4}"/>
    <cellStyle name="Normal 9 2 2 5 5" xfId="17962" xr:uid="{54DF3355-5406-48DB-9E6E-FC8806236EBA}"/>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044881DE-CFA6-42D1-A63D-FC44F19B1E2D}"/>
    <cellStyle name="Normal 9 2 2 6 2 2 3" xfId="24737" xr:uid="{25F46677-4D0E-431D-8048-A46D19EC22EC}"/>
    <cellStyle name="Normal 9 2 2 6 2 3" xfId="12079" xr:uid="{71620A9A-5707-4507-8ED4-CD613C1DFC70}"/>
    <cellStyle name="Normal 9 2 2 6 2 4" xfId="20520" xr:uid="{4A96436D-232E-4A7F-BA74-16DC65BB1262}"/>
    <cellStyle name="Normal 9 2 2 6 3" xfId="5702" xr:uid="{00000000-0005-0000-0000-0000011F0000}"/>
    <cellStyle name="Normal 9 2 2 6 3 2" xfId="14152" xr:uid="{F9A291EA-5F09-4CCB-8689-631C1685BCEC}"/>
    <cellStyle name="Normal 9 2 2 6 3 3" xfId="22592" xr:uid="{B7EDE90D-2412-4352-AEB1-E7A97FFBBE72}"/>
    <cellStyle name="Normal 9 2 2 6 4" xfId="9934" xr:uid="{E8C33783-B279-48EF-BAE8-31423219F1E5}"/>
    <cellStyle name="Normal 9 2 2 6 5" xfId="18375" xr:uid="{819DF4FD-BE8F-44C9-980B-E9C4B5C0FA2A}"/>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0BD6673D-5813-4C77-BBD2-4352363DDFEA}"/>
    <cellStyle name="Normal 9 2 2 7 2 2 3" xfId="25150" xr:uid="{4CA03116-748E-4013-A241-D46467EDE239}"/>
    <cellStyle name="Normal 9 2 2 7 2 3" xfId="12492" xr:uid="{8ABFDE53-5EAF-43E6-A02B-72FD83F416E2}"/>
    <cellStyle name="Normal 9 2 2 7 2 4" xfId="20933" xr:uid="{57E39B6F-B085-46F8-A679-8CB54D741D16}"/>
    <cellStyle name="Normal 9 2 2 7 3" xfId="6115" xr:uid="{00000000-0005-0000-0000-0000051F0000}"/>
    <cellStyle name="Normal 9 2 2 7 3 2" xfId="14565" xr:uid="{6C6AA399-B533-4259-8441-FED9C0C8AEFF}"/>
    <cellStyle name="Normal 9 2 2 7 3 3" xfId="23005" xr:uid="{1C6B4C39-AF6E-4A5E-A26A-A264BDBBB29F}"/>
    <cellStyle name="Normal 9 2 2 7 4" xfId="10347" xr:uid="{C1BBF704-C196-4F45-87C0-96584F77B413}"/>
    <cellStyle name="Normal 9 2 2 7 5" xfId="18788" xr:uid="{8EDE0910-F5E5-40E5-ADE0-942DFF091029}"/>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7D5D258F-E080-45B2-8033-F7DD6E0BC749}"/>
    <cellStyle name="Normal 9 2 2 8 2 2 3" xfId="25563" xr:uid="{D445F72C-87F8-42D9-B5B3-75A8484FFE33}"/>
    <cellStyle name="Normal 9 2 2 8 2 3" xfId="12905" xr:uid="{2FE55CE0-02D7-466E-8257-460FBAD3DE07}"/>
    <cellStyle name="Normal 9 2 2 8 2 4" xfId="21346" xr:uid="{2C3D4CF6-5A93-401B-8DF5-C5F521BB40FA}"/>
    <cellStyle name="Normal 9 2 2 8 3" xfId="6528" xr:uid="{00000000-0005-0000-0000-0000091F0000}"/>
    <cellStyle name="Normal 9 2 2 8 3 2" xfId="14978" xr:uid="{E05E72B5-4B62-4910-9BFE-3667F57DE3AD}"/>
    <cellStyle name="Normal 9 2 2 8 3 3" xfId="23418" xr:uid="{BA6571AF-4935-4165-B881-93D80C7E9330}"/>
    <cellStyle name="Normal 9 2 2 8 4" xfId="10760" xr:uid="{E220DF36-67F9-4BD1-9FB6-15D0D8D54F33}"/>
    <cellStyle name="Normal 9 2 2 8 5" xfId="19201" xr:uid="{3E08266E-E6A9-49DE-84DA-4F5072420D5B}"/>
    <cellStyle name="Normal 9 2 2 9" xfId="2658" xr:uid="{00000000-0005-0000-0000-00000A1F0000}"/>
    <cellStyle name="Normal 9 2 2 9 2" xfId="6941" xr:uid="{00000000-0005-0000-0000-00000B1F0000}"/>
    <cellStyle name="Normal 9 2 2 9 2 2" xfId="15391" xr:uid="{1DB42694-EA1D-4C5B-B4F1-DDE595D8FC6E}"/>
    <cellStyle name="Normal 9 2 2 9 2 3" xfId="23831" xr:uid="{B668B282-4F51-45B4-813F-033D2EB1A168}"/>
    <cellStyle name="Normal 9 2 2 9 3" xfId="11173" xr:uid="{48B26423-F934-4E56-8298-892D6D763AA1}"/>
    <cellStyle name="Normal 9 2 2 9 4" xfId="19614" xr:uid="{90B886F9-3852-4390-B3F9-5C4FBA515828}"/>
    <cellStyle name="Normal 9 2 3" xfId="520" xr:uid="{00000000-0005-0000-0000-00000C1F0000}"/>
    <cellStyle name="Normal 9 2 3 10" xfId="9116" xr:uid="{49C97589-5B11-4935-9BCB-1339F877A2ED}"/>
    <cellStyle name="Normal 9 2 3 11" xfId="17557" xr:uid="{72ECF129-E695-452E-B835-76B8945016C3}"/>
    <cellStyle name="Normal 9 2 3 2" xfId="521" xr:uid="{00000000-0005-0000-0000-00000D1F0000}"/>
    <cellStyle name="Normal 9 2 3 2 10" xfId="17558" xr:uid="{1AA54A07-6F64-4639-8196-923A734120C4}"/>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02CB69CF-01C0-426E-8453-76CCCA4A6967}"/>
    <cellStyle name="Normal 9 2 3 2 2 2 2 2 3" xfId="24334" xr:uid="{84083301-38A5-4E04-A88A-719C4572425B}"/>
    <cellStyle name="Normal 9 2 3 2 2 2 2 3" xfId="11676" xr:uid="{0B1AA4A6-B512-4D2E-926E-BC3E7DC3D3CB}"/>
    <cellStyle name="Normal 9 2 3 2 2 2 2 4" xfId="20117" xr:uid="{41617143-6498-4EFE-B926-58411000E675}"/>
    <cellStyle name="Normal 9 2 3 2 2 2 3" xfId="5299" xr:uid="{00000000-0005-0000-0000-0000121F0000}"/>
    <cellStyle name="Normal 9 2 3 2 2 2 3 2" xfId="13749" xr:uid="{DF02142E-8658-42F3-88F7-9152C46BFDC2}"/>
    <cellStyle name="Normal 9 2 3 2 2 2 3 3" xfId="22189" xr:uid="{B7D7D4E4-3618-43BE-9309-2F13204D3DA5}"/>
    <cellStyle name="Normal 9 2 3 2 2 2 4" xfId="9531" xr:uid="{F9A2E213-BD61-4CAE-9F26-D89653EC9A0F}"/>
    <cellStyle name="Normal 9 2 3 2 2 2 5" xfId="17972" xr:uid="{322DE137-5258-466E-9636-6DC811E053BE}"/>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B2EE21C0-CDBE-44E5-912A-362A9F7064DD}"/>
    <cellStyle name="Normal 9 2 3 2 2 3 2 2 3" xfId="24747" xr:uid="{4C72A034-3BF2-4EE7-A55D-A54429EBDB3B}"/>
    <cellStyle name="Normal 9 2 3 2 2 3 2 3" xfId="12089" xr:uid="{5183B0E2-6E9B-4BCF-9183-7F6E91E93F4A}"/>
    <cellStyle name="Normal 9 2 3 2 2 3 2 4" xfId="20530" xr:uid="{9A2894F2-04B4-43C4-897D-62C9FE4C0F86}"/>
    <cellStyle name="Normal 9 2 3 2 2 3 3" xfId="5712" xr:uid="{00000000-0005-0000-0000-0000161F0000}"/>
    <cellStyle name="Normal 9 2 3 2 2 3 3 2" xfId="14162" xr:uid="{02534870-140E-461B-AD07-A7877113EDFE}"/>
    <cellStyle name="Normal 9 2 3 2 2 3 3 3" xfId="22602" xr:uid="{DE0BA010-0D71-44E8-8782-83320C711EF5}"/>
    <cellStyle name="Normal 9 2 3 2 2 3 4" xfId="9944" xr:uid="{2E558DE3-AA37-4903-A026-7E58C259E3A0}"/>
    <cellStyle name="Normal 9 2 3 2 2 3 5" xfId="18385" xr:uid="{B5499D2E-4488-4AA5-ACB5-41B2CDB4B589}"/>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6ADAAE1B-A401-4EF9-863D-73C89DAA6B76}"/>
    <cellStyle name="Normal 9 2 3 2 2 4 2 2 3" xfId="25160" xr:uid="{40C5B301-3403-445E-8F99-F21C8E8D87D8}"/>
    <cellStyle name="Normal 9 2 3 2 2 4 2 3" xfId="12502" xr:uid="{40B4CAD0-A6BC-4D0E-81F7-036D83E74375}"/>
    <cellStyle name="Normal 9 2 3 2 2 4 2 4" xfId="20943" xr:uid="{499706D6-D285-45AF-9D50-9D94F48096F7}"/>
    <cellStyle name="Normal 9 2 3 2 2 4 3" xfId="6125" xr:uid="{00000000-0005-0000-0000-00001A1F0000}"/>
    <cellStyle name="Normal 9 2 3 2 2 4 3 2" xfId="14575" xr:uid="{8AFE39C3-DC43-4251-A455-A09FA549E7BF}"/>
    <cellStyle name="Normal 9 2 3 2 2 4 3 3" xfId="23015" xr:uid="{AF6F0CB5-723D-48CA-9CA3-ABADA64F23A2}"/>
    <cellStyle name="Normal 9 2 3 2 2 4 4" xfId="10357" xr:uid="{5A86ADA1-D618-494C-8358-229C19018674}"/>
    <cellStyle name="Normal 9 2 3 2 2 4 5" xfId="18798" xr:uid="{F30B885D-8AC5-4183-85CC-A4B7BE98C4FD}"/>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F0D32D31-FCA8-4A8C-995D-FEA0145C4FEB}"/>
    <cellStyle name="Normal 9 2 3 2 2 5 2 2 3" xfId="25573" xr:uid="{1A8CB827-9E89-4925-B957-2D3017658D04}"/>
    <cellStyle name="Normal 9 2 3 2 2 5 2 3" xfId="12915" xr:uid="{EA4A5170-6CF2-4E15-A566-E9C90A774B2A}"/>
    <cellStyle name="Normal 9 2 3 2 2 5 2 4" xfId="21356" xr:uid="{3C25D280-5F23-46EC-ABB8-22F64AFC1DC8}"/>
    <cellStyle name="Normal 9 2 3 2 2 5 3" xfId="6538" xr:uid="{00000000-0005-0000-0000-00001E1F0000}"/>
    <cellStyle name="Normal 9 2 3 2 2 5 3 2" xfId="14988" xr:uid="{DC16649D-7E20-449D-BB5A-DF5DFC7D4D78}"/>
    <cellStyle name="Normal 9 2 3 2 2 5 3 3" xfId="23428" xr:uid="{D0C635F2-801A-477F-B5AD-978CCF9AA120}"/>
    <cellStyle name="Normal 9 2 3 2 2 5 4" xfId="10770" xr:uid="{C399F4D4-528D-4426-A431-9AAEDBBF45D8}"/>
    <cellStyle name="Normal 9 2 3 2 2 5 5" xfId="19211" xr:uid="{85F0B73B-1678-471E-B987-E4CE3C8B4EFC}"/>
    <cellStyle name="Normal 9 2 3 2 2 6" xfId="2668" xr:uid="{00000000-0005-0000-0000-00001F1F0000}"/>
    <cellStyle name="Normal 9 2 3 2 2 6 2" xfId="6951" xr:uid="{00000000-0005-0000-0000-0000201F0000}"/>
    <cellStyle name="Normal 9 2 3 2 2 6 2 2" xfId="15401" xr:uid="{63CCEFEE-77E4-4459-BA38-B82074BFA95C}"/>
    <cellStyle name="Normal 9 2 3 2 2 6 2 3" xfId="23841" xr:uid="{46CA1E9E-2F35-42AC-9FD6-E14C8DB23BC9}"/>
    <cellStyle name="Normal 9 2 3 2 2 6 3" xfId="11183" xr:uid="{37F1E1B8-B1BA-43DA-8304-FBDED436653C}"/>
    <cellStyle name="Normal 9 2 3 2 2 6 4" xfId="19624" xr:uid="{523312B4-5A9A-4842-B550-B3E5E49EEB1E}"/>
    <cellStyle name="Normal 9 2 3 2 2 7" xfId="4886" xr:uid="{00000000-0005-0000-0000-0000211F0000}"/>
    <cellStyle name="Normal 9 2 3 2 2 7 2" xfId="13336" xr:uid="{2180B9CB-381C-4BF2-9D3D-56947624E9D7}"/>
    <cellStyle name="Normal 9 2 3 2 2 7 3" xfId="21776" xr:uid="{44BF744C-2885-4959-B068-D75C03EF236B}"/>
    <cellStyle name="Normal 9 2 3 2 2 8" xfId="9118" xr:uid="{F8E3B79D-DA5A-4567-9B80-2E897851AF4A}"/>
    <cellStyle name="Normal 9 2 3 2 2 9" xfId="17559" xr:uid="{7098611B-1D0A-478C-A7A5-DF92A8C1CE3D}"/>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318BA615-0584-4CC8-A9BA-FACAE5BBEC26}"/>
    <cellStyle name="Normal 9 2 3 2 3 2 2 3" xfId="24333" xr:uid="{235DF444-C5BB-4C5E-96FD-2ED111D56245}"/>
    <cellStyle name="Normal 9 2 3 2 3 2 3" xfId="11675" xr:uid="{F298F4EF-7227-4924-A3C1-E8CED21A187A}"/>
    <cellStyle name="Normal 9 2 3 2 3 2 4" xfId="20116" xr:uid="{25AC7512-F6FB-452E-B307-02253E566FED}"/>
    <cellStyle name="Normal 9 2 3 2 3 3" xfId="5298" xr:uid="{00000000-0005-0000-0000-0000251F0000}"/>
    <cellStyle name="Normal 9 2 3 2 3 3 2" xfId="13748" xr:uid="{F737B265-B53C-4346-9535-EA2B5249B4F0}"/>
    <cellStyle name="Normal 9 2 3 2 3 3 3" xfId="22188" xr:uid="{C36D334C-DF19-4BD2-8D17-327AA802616C}"/>
    <cellStyle name="Normal 9 2 3 2 3 4" xfId="9530" xr:uid="{E0A14774-2C6C-40EA-9BB8-D93F43BC8918}"/>
    <cellStyle name="Normal 9 2 3 2 3 5" xfId="17971" xr:uid="{81A7509A-E42A-457B-AFD3-3B30DD6E98A4}"/>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80058E9E-CA3D-4E8C-8B2D-2A4EB240A8ED}"/>
    <cellStyle name="Normal 9 2 3 2 4 2 2 3" xfId="24746" xr:uid="{073746DB-A19B-4807-A69F-74870F40E1E8}"/>
    <cellStyle name="Normal 9 2 3 2 4 2 3" xfId="12088" xr:uid="{7FF52F02-F963-4DF6-B717-CA51C13412F1}"/>
    <cellStyle name="Normal 9 2 3 2 4 2 4" xfId="20529" xr:uid="{460AC882-D5E1-4CF7-9317-C493343D7CF8}"/>
    <cellStyle name="Normal 9 2 3 2 4 3" xfId="5711" xr:uid="{00000000-0005-0000-0000-0000291F0000}"/>
    <cellStyle name="Normal 9 2 3 2 4 3 2" xfId="14161" xr:uid="{85111D6C-257E-46AB-B4EF-A1C3DF1635EB}"/>
    <cellStyle name="Normal 9 2 3 2 4 3 3" xfId="22601" xr:uid="{18CD4003-539C-45CA-9E4C-AA14DEF148B8}"/>
    <cellStyle name="Normal 9 2 3 2 4 4" xfId="9943" xr:uid="{FB23A370-9F3D-4C5D-901D-2058D3B2CCCB}"/>
    <cellStyle name="Normal 9 2 3 2 4 5" xfId="18384" xr:uid="{9C4FE343-AC08-4A0F-A6C8-794AE55A0D94}"/>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15CE8CCF-B214-49F6-B9DC-8CA9A589303C}"/>
    <cellStyle name="Normal 9 2 3 2 5 2 2 3" xfId="25159" xr:uid="{BFC9ABDB-92D6-4D5C-BAB8-10743C269881}"/>
    <cellStyle name="Normal 9 2 3 2 5 2 3" xfId="12501" xr:uid="{026AE52F-C7ED-4872-A07E-01D0407EAAE5}"/>
    <cellStyle name="Normal 9 2 3 2 5 2 4" xfId="20942" xr:uid="{08AA6BFF-0870-4E4D-9DB8-209EF444865F}"/>
    <cellStyle name="Normal 9 2 3 2 5 3" xfId="6124" xr:uid="{00000000-0005-0000-0000-00002D1F0000}"/>
    <cellStyle name="Normal 9 2 3 2 5 3 2" xfId="14574" xr:uid="{ACBACF3E-A9AF-4CE0-A876-887C1F5DB21B}"/>
    <cellStyle name="Normal 9 2 3 2 5 3 3" xfId="23014" xr:uid="{785B24EC-7900-42FA-90DB-1C4437224866}"/>
    <cellStyle name="Normal 9 2 3 2 5 4" xfId="10356" xr:uid="{BE0EC72B-1C8A-4F5F-A4BB-8F1B9C1022D6}"/>
    <cellStyle name="Normal 9 2 3 2 5 5" xfId="18797" xr:uid="{A076CDA8-F827-40F6-9C08-24FF6C6DBD6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014562E8-C303-47FA-B98A-E4AE3F2C4C42}"/>
    <cellStyle name="Normal 9 2 3 2 6 2 2 3" xfId="25572" xr:uid="{546B71BF-8348-4333-B354-D9B2311F7651}"/>
    <cellStyle name="Normal 9 2 3 2 6 2 3" xfId="12914" xr:uid="{1212219B-F72B-45F0-BCCC-70AE55CF69D0}"/>
    <cellStyle name="Normal 9 2 3 2 6 2 4" xfId="21355" xr:uid="{6B25E05A-0FD9-4863-A870-C1C11877B4EA}"/>
    <cellStyle name="Normal 9 2 3 2 6 3" xfId="6537" xr:uid="{00000000-0005-0000-0000-0000311F0000}"/>
    <cellStyle name="Normal 9 2 3 2 6 3 2" xfId="14987" xr:uid="{809CA1AF-FFCF-44FC-9B7E-8DC154E887DF}"/>
    <cellStyle name="Normal 9 2 3 2 6 3 3" xfId="23427" xr:uid="{67F89FC6-A57B-4158-AB2A-0D600F5548A7}"/>
    <cellStyle name="Normal 9 2 3 2 6 4" xfId="10769" xr:uid="{2CC1ECFB-85FE-4949-BD4A-7F4F5E49E6F6}"/>
    <cellStyle name="Normal 9 2 3 2 6 5" xfId="19210" xr:uid="{C6B9A764-2A27-4A0A-918C-4690633277C2}"/>
    <cellStyle name="Normal 9 2 3 2 7" xfId="2667" xr:uid="{00000000-0005-0000-0000-0000321F0000}"/>
    <cellStyle name="Normal 9 2 3 2 7 2" xfId="6950" xr:uid="{00000000-0005-0000-0000-0000331F0000}"/>
    <cellStyle name="Normal 9 2 3 2 7 2 2" xfId="15400" xr:uid="{DD767D63-E8B2-4714-AF7C-DF6755C4A4A8}"/>
    <cellStyle name="Normal 9 2 3 2 7 2 3" xfId="23840" xr:uid="{DDE59655-ADF0-4AD0-920A-1D52FB3F26D4}"/>
    <cellStyle name="Normal 9 2 3 2 7 3" xfId="11182" xr:uid="{85EACBA9-1C12-428B-A149-05F86FA08638}"/>
    <cellStyle name="Normal 9 2 3 2 7 4" xfId="19623" xr:uid="{8350AD51-FDCE-400A-A835-DCB7FC36C8EE}"/>
    <cellStyle name="Normal 9 2 3 2 8" xfId="4885" xr:uid="{00000000-0005-0000-0000-0000341F0000}"/>
    <cellStyle name="Normal 9 2 3 2 8 2" xfId="13335" xr:uid="{F2C9F149-5D1C-42BC-94E1-A1592D7F12FC}"/>
    <cellStyle name="Normal 9 2 3 2 8 3" xfId="21775" xr:uid="{88E221C7-6FCC-46CB-88D0-25A7723BCA19}"/>
    <cellStyle name="Normal 9 2 3 2 9" xfId="9117" xr:uid="{F8F5B5D7-9428-4141-9F6F-C6DD5B98399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04F8FB86-9D25-4E8F-9EEC-421254D57250}"/>
    <cellStyle name="Normal 9 2 3 3 2 2 2 3" xfId="24335" xr:uid="{0839779C-D2E1-429E-8683-0A7AAEE96FC1}"/>
    <cellStyle name="Normal 9 2 3 3 2 2 3" xfId="11677" xr:uid="{7C9074FA-2A2F-459B-8BC0-A9F34D92C1B0}"/>
    <cellStyle name="Normal 9 2 3 3 2 2 4" xfId="20118" xr:uid="{67680CF3-EB63-49AF-BC0A-6901E37E5846}"/>
    <cellStyle name="Normal 9 2 3 3 2 3" xfId="5300" xr:uid="{00000000-0005-0000-0000-0000391F0000}"/>
    <cellStyle name="Normal 9 2 3 3 2 3 2" xfId="13750" xr:uid="{2428CDF2-64BB-4BFC-AD55-2E14094CA2D3}"/>
    <cellStyle name="Normal 9 2 3 3 2 3 3" xfId="22190" xr:uid="{BBF1757F-3719-4C04-B830-0A7C35AEF879}"/>
    <cellStyle name="Normal 9 2 3 3 2 4" xfId="9532" xr:uid="{9C968021-9B4B-4B01-A41D-E6E9CE6620E5}"/>
    <cellStyle name="Normal 9 2 3 3 2 5" xfId="17973" xr:uid="{67DD8EF6-DB0E-43C6-B512-82583EF7314F}"/>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906DCC7E-68A5-4642-BF0B-C938569407A2}"/>
    <cellStyle name="Normal 9 2 3 3 3 2 2 3" xfId="24748" xr:uid="{BBF38167-C9B6-4928-8618-8B4701B3C0B3}"/>
    <cellStyle name="Normal 9 2 3 3 3 2 3" xfId="12090" xr:uid="{B9078AB8-C324-4A2D-A715-BB1FEC27DC35}"/>
    <cellStyle name="Normal 9 2 3 3 3 2 4" xfId="20531" xr:uid="{7105035C-79BD-40EB-B0EE-F59228B050EA}"/>
    <cellStyle name="Normal 9 2 3 3 3 3" xfId="5713" xr:uid="{00000000-0005-0000-0000-00003D1F0000}"/>
    <cellStyle name="Normal 9 2 3 3 3 3 2" xfId="14163" xr:uid="{7223234A-2424-4444-8059-4F0FFB1BD43C}"/>
    <cellStyle name="Normal 9 2 3 3 3 3 3" xfId="22603" xr:uid="{A659CD53-A085-4BF5-A9F3-A2BC32DAF1F4}"/>
    <cellStyle name="Normal 9 2 3 3 3 4" xfId="9945" xr:uid="{168DC048-63C1-4B0C-8013-768F998265DC}"/>
    <cellStyle name="Normal 9 2 3 3 3 5" xfId="18386" xr:uid="{EE0E136D-224B-4198-B99D-E47E8FAC145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8E3A0BE7-7F9E-471C-ABE4-1AC69B794544}"/>
    <cellStyle name="Normal 9 2 3 3 4 2 2 3" xfId="25161" xr:uid="{3F3DBCD8-BDC6-4811-99EA-90F86957450D}"/>
    <cellStyle name="Normal 9 2 3 3 4 2 3" xfId="12503" xr:uid="{567C3FA7-4937-4F56-A4FC-A4E5F4130FD5}"/>
    <cellStyle name="Normal 9 2 3 3 4 2 4" xfId="20944" xr:uid="{0D22CD63-80B6-40EF-90A4-FD3F4A3D86A5}"/>
    <cellStyle name="Normal 9 2 3 3 4 3" xfId="6126" xr:uid="{00000000-0005-0000-0000-0000411F0000}"/>
    <cellStyle name="Normal 9 2 3 3 4 3 2" xfId="14576" xr:uid="{7FE4D129-9E1E-430D-9C3B-9CD9D38A18E0}"/>
    <cellStyle name="Normal 9 2 3 3 4 3 3" xfId="23016" xr:uid="{62373525-F3F5-44FC-AF78-26F8425C4BAE}"/>
    <cellStyle name="Normal 9 2 3 3 4 4" xfId="10358" xr:uid="{F97E2AD3-625A-46D2-9880-D026A0C204E5}"/>
    <cellStyle name="Normal 9 2 3 3 4 5" xfId="18799" xr:uid="{8BD6EE71-A7B7-47D7-9E92-143824E6F13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D5E02498-977C-4183-834D-8BE7199E2EE0}"/>
    <cellStyle name="Normal 9 2 3 3 5 2 2 3" xfId="25574" xr:uid="{502DB693-F79D-4CB0-89F8-114F3DC9FE17}"/>
    <cellStyle name="Normal 9 2 3 3 5 2 3" xfId="12916" xr:uid="{5F7B8CD7-19FD-4E03-B0E6-76B114CFBF71}"/>
    <cellStyle name="Normal 9 2 3 3 5 2 4" xfId="21357" xr:uid="{E7B6F26A-B05B-46FE-8DF3-C401246A82CD}"/>
    <cellStyle name="Normal 9 2 3 3 5 3" xfId="6539" xr:uid="{00000000-0005-0000-0000-0000451F0000}"/>
    <cellStyle name="Normal 9 2 3 3 5 3 2" xfId="14989" xr:uid="{F4FEF64F-9787-4CB5-83A1-CD49E909380E}"/>
    <cellStyle name="Normal 9 2 3 3 5 3 3" xfId="23429" xr:uid="{75269407-C0E9-4C0A-8BA3-36773DA094D6}"/>
    <cellStyle name="Normal 9 2 3 3 5 4" xfId="10771" xr:uid="{BCA92CB3-447C-4DD7-9D96-9E0911B77476}"/>
    <cellStyle name="Normal 9 2 3 3 5 5" xfId="19212" xr:uid="{E231D699-0D35-442C-89D9-AEB572C01C4E}"/>
    <cellStyle name="Normal 9 2 3 3 6" xfId="2669" xr:uid="{00000000-0005-0000-0000-0000461F0000}"/>
    <cellStyle name="Normal 9 2 3 3 6 2" xfId="6952" xr:uid="{00000000-0005-0000-0000-0000471F0000}"/>
    <cellStyle name="Normal 9 2 3 3 6 2 2" xfId="15402" xr:uid="{BC580C4C-250B-499A-AFBA-BC93456549A3}"/>
    <cellStyle name="Normal 9 2 3 3 6 2 3" xfId="23842" xr:uid="{DB891567-B97F-4878-9820-9A29282DE0FF}"/>
    <cellStyle name="Normal 9 2 3 3 6 3" xfId="11184" xr:uid="{1FB87275-1F9C-443A-8927-A871D5E329E1}"/>
    <cellStyle name="Normal 9 2 3 3 6 4" xfId="19625" xr:uid="{04A15977-A0BD-4449-9E4F-BF29EE76970B}"/>
    <cellStyle name="Normal 9 2 3 3 7" xfId="4887" xr:uid="{00000000-0005-0000-0000-0000481F0000}"/>
    <cellStyle name="Normal 9 2 3 3 7 2" xfId="13337" xr:uid="{1520273F-41F2-4DA0-BBBC-2F5B888C2703}"/>
    <cellStyle name="Normal 9 2 3 3 7 3" xfId="21777" xr:uid="{2FADFFF8-CC05-4212-824D-2C54FA717F69}"/>
    <cellStyle name="Normal 9 2 3 3 8" xfId="9119" xr:uid="{AF50E359-A22F-4ECF-84CD-56D0794E997C}"/>
    <cellStyle name="Normal 9 2 3 3 9" xfId="17560" xr:uid="{F5A02F1C-9A66-4C43-897A-60A60076C8DE}"/>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6B1E6C4-F534-4858-A999-340C787AFFCC}"/>
    <cellStyle name="Normal 9 2 3 4 2 2 3" xfId="24332" xr:uid="{4020AB26-DB2F-4CE0-AF9D-D3050D1B48F2}"/>
    <cellStyle name="Normal 9 2 3 4 2 3" xfId="11674" xr:uid="{BCD65BCF-BB7E-4858-B453-04AEE2A637AC}"/>
    <cellStyle name="Normal 9 2 3 4 2 4" xfId="20115" xr:uid="{10914E11-7981-4F9E-AD15-CCC986F505DD}"/>
    <cellStyle name="Normal 9 2 3 4 3" xfId="5297" xr:uid="{00000000-0005-0000-0000-00004C1F0000}"/>
    <cellStyle name="Normal 9 2 3 4 3 2" xfId="13747" xr:uid="{D5E64E25-3C01-4747-ACEA-73CFFDA55F77}"/>
    <cellStyle name="Normal 9 2 3 4 3 3" xfId="22187" xr:uid="{E5A1FB67-6B41-4DF5-83B9-9FD6F9FFEBA3}"/>
    <cellStyle name="Normal 9 2 3 4 4" xfId="9529" xr:uid="{D2377CE6-04AA-405D-A5A9-972DAB1FD74E}"/>
    <cellStyle name="Normal 9 2 3 4 5" xfId="17970" xr:uid="{3F7E1C5D-6632-4FC0-9E4F-F3A5DE0247D6}"/>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BC9FD4F7-42B7-46E9-AE74-2C25604BAF04}"/>
    <cellStyle name="Normal 9 2 3 5 2 2 3" xfId="24745" xr:uid="{8B835E27-EF1B-4864-A78F-D66C1C29CAFA}"/>
    <cellStyle name="Normal 9 2 3 5 2 3" xfId="12087" xr:uid="{D0E7C06D-5F9B-4162-B445-16EA072B97A8}"/>
    <cellStyle name="Normal 9 2 3 5 2 4" xfId="20528" xr:uid="{CA63642F-9D38-4022-BEA2-520A02E0B034}"/>
    <cellStyle name="Normal 9 2 3 5 3" xfId="5710" xr:uid="{00000000-0005-0000-0000-0000501F0000}"/>
    <cellStyle name="Normal 9 2 3 5 3 2" xfId="14160" xr:uid="{3FE69F00-65ED-4DA3-850F-E762D5D73D07}"/>
    <cellStyle name="Normal 9 2 3 5 3 3" xfId="22600" xr:uid="{A9608508-A405-4B71-903B-083C9006CA21}"/>
    <cellStyle name="Normal 9 2 3 5 4" xfId="9942" xr:uid="{00C133BB-F9D4-4AE8-B998-2285E9115BB0}"/>
    <cellStyle name="Normal 9 2 3 5 5" xfId="18383" xr:uid="{512E9026-C860-4FCB-8AA9-A8817CB396BE}"/>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4109EE9B-A984-45DA-B83E-35CE5C19079D}"/>
    <cellStyle name="Normal 9 2 3 6 2 2 3" xfId="25158" xr:uid="{83ACFA74-60DA-465F-AA66-E719CCA4AAA2}"/>
    <cellStyle name="Normal 9 2 3 6 2 3" xfId="12500" xr:uid="{898F86B2-B300-4004-A9F9-3F421AAE9652}"/>
    <cellStyle name="Normal 9 2 3 6 2 4" xfId="20941" xr:uid="{3E15F32A-9129-4724-8675-2EE81CD08030}"/>
    <cellStyle name="Normal 9 2 3 6 3" xfId="6123" xr:uid="{00000000-0005-0000-0000-0000541F0000}"/>
    <cellStyle name="Normal 9 2 3 6 3 2" xfId="14573" xr:uid="{10CB6B3C-D839-47D5-951A-3243505B9BA4}"/>
    <cellStyle name="Normal 9 2 3 6 3 3" xfId="23013" xr:uid="{E03FE99A-FE91-489E-8797-6416BCCE9894}"/>
    <cellStyle name="Normal 9 2 3 6 4" xfId="10355" xr:uid="{0EE81D5E-1D5D-4531-BF1A-EDEBCDFA80C5}"/>
    <cellStyle name="Normal 9 2 3 6 5" xfId="18796" xr:uid="{1D2AF18A-BE20-4071-BBFB-DA3E96690548}"/>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38CA16E2-9BC0-4450-B4BD-D388A4029DFC}"/>
    <cellStyle name="Normal 9 2 3 7 2 2 3" xfId="25571" xr:uid="{636A4D75-55C5-4936-AE34-76BC3D87AAE0}"/>
    <cellStyle name="Normal 9 2 3 7 2 3" xfId="12913" xr:uid="{8F2BF64D-A8E9-460D-ABDA-AB05FE60AC47}"/>
    <cellStyle name="Normal 9 2 3 7 2 4" xfId="21354" xr:uid="{75AE9CE4-3E2B-49CD-9710-F177B908D5B4}"/>
    <cellStyle name="Normal 9 2 3 7 3" xfId="6536" xr:uid="{00000000-0005-0000-0000-0000581F0000}"/>
    <cellStyle name="Normal 9 2 3 7 3 2" xfId="14986" xr:uid="{D93A905B-0457-41AE-9603-A545D4B62742}"/>
    <cellStyle name="Normal 9 2 3 7 3 3" xfId="23426" xr:uid="{D6A238A0-DCC2-4070-858E-B109392CBE4F}"/>
    <cellStyle name="Normal 9 2 3 7 4" xfId="10768" xr:uid="{F12D5807-8B27-44AD-BEEE-DB36B0980956}"/>
    <cellStyle name="Normal 9 2 3 7 5" xfId="19209" xr:uid="{12778404-DE56-4C44-A25C-02A3FE70C8E7}"/>
    <cellStyle name="Normal 9 2 3 8" xfId="2666" xr:uid="{00000000-0005-0000-0000-0000591F0000}"/>
    <cellStyle name="Normal 9 2 3 8 2" xfId="6949" xr:uid="{00000000-0005-0000-0000-00005A1F0000}"/>
    <cellStyle name="Normal 9 2 3 8 2 2" xfId="15399" xr:uid="{1C2494B7-1446-48DE-9746-FF55D66931F0}"/>
    <cellStyle name="Normal 9 2 3 8 2 3" xfId="23839" xr:uid="{BEE62C1D-1377-4F9E-9062-719FF8323315}"/>
    <cellStyle name="Normal 9 2 3 8 3" xfId="11181" xr:uid="{CE90E752-A3B0-4758-9E7F-28CF0FE9FD77}"/>
    <cellStyle name="Normal 9 2 3 8 4" xfId="19622" xr:uid="{32C223AE-0CE1-43BC-AED4-CCAEE7E73E1E}"/>
    <cellStyle name="Normal 9 2 3 9" xfId="4884" xr:uid="{00000000-0005-0000-0000-00005B1F0000}"/>
    <cellStyle name="Normal 9 2 3 9 2" xfId="13334" xr:uid="{FB8B244A-630E-48A9-B5C5-BAD1A1377B64}"/>
    <cellStyle name="Normal 9 2 3 9 3" xfId="21774" xr:uid="{07C61238-0124-430C-90CC-BEA56AD05BD4}"/>
    <cellStyle name="Normal 9 2 4" xfId="524" xr:uid="{00000000-0005-0000-0000-00005C1F0000}"/>
    <cellStyle name="Normal 9 2 4 10" xfId="17561" xr:uid="{E459A734-DE6A-4CA8-92D3-3FD2D03BFD42}"/>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CCE1EF78-86F1-404F-B9AD-F93E22983F9D}"/>
    <cellStyle name="Normal 9 2 4 2 2 2 2 3" xfId="24337" xr:uid="{18FFFC88-24A6-4407-A0A6-3F4E2EB4E3DD}"/>
    <cellStyle name="Normal 9 2 4 2 2 2 3" xfId="11679" xr:uid="{926CA5D1-7C04-4973-B709-B779E06E9088}"/>
    <cellStyle name="Normal 9 2 4 2 2 2 4" xfId="20120" xr:uid="{A5FEE08F-B455-4829-88CF-F2FD25F854ED}"/>
    <cellStyle name="Normal 9 2 4 2 2 3" xfId="5302" xr:uid="{00000000-0005-0000-0000-0000611F0000}"/>
    <cellStyle name="Normal 9 2 4 2 2 3 2" xfId="13752" xr:uid="{298CD77A-EA1A-4E05-9913-53F3B7BC49E5}"/>
    <cellStyle name="Normal 9 2 4 2 2 3 3" xfId="22192" xr:uid="{5D8CD215-AA86-4010-81E0-D8EF48BD6C7C}"/>
    <cellStyle name="Normal 9 2 4 2 2 4" xfId="9534" xr:uid="{FFBDD57D-909A-4A53-9F43-9B5B4EF55736}"/>
    <cellStyle name="Normal 9 2 4 2 2 5" xfId="17975" xr:uid="{7E1CFD8C-A057-463A-9ADC-5CE400549F6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D9A2A0A5-BFDE-4533-8A50-A85EA2E71F3F}"/>
    <cellStyle name="Normal 9 2 4 2 3 2 2 3" xfId="24750" xr:uid="{D6D982E3-CD9D-4139-ACB4-3D9F26A51704}"/>
    <cellStyle name="Normal 9 2 4 2 3 2 3" xfId="12092" xr:uid="{CA910DC1-8163-4693-9729-AED1657D3B4D}"/>
    <cellStyle name="Normal 9 2 4 2 3 2 4" xfId="20533" xr:uid="{7869F1F2-FF49-45D3-8334-AFEF7C455DBC}"/>
    <cellStyle name="Normal 9 2 4 2 3 3" xfId="5715" xr:uid="{00000000-0005-0000-0000-0000651F0000}"/>
    <cellStyle name="Normal 9 2 4 2 3 3 2" xfId="14165" xr:uid="{AE0F5D8C-1BA5-434C-970F-F0CBB05F0124}"/>
    <cellStyle name="Normal 9 2 4 2 3 3 3" xfId="22605" xr:uid="{BD511CA2-82D7-4AC4-97C7-1115C13849FC}"/>
    <cellStyle name="Normal 9 2 4 2 3 4" xfId="9947" xr:uid="{FF56D612-F790-41E9-9A44-360E57121871}"/>
    <cellStyle name="Normal 9 2 4 2 3 5" xfId="18388" xr:uid="{4D16AE88-6CF8-4A19-814B-3E05E45196E1}"/>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FDB001C2-A0DF-4CE3-AF6C-8619AF17286F}"/>
    <cellStyle name="Normal 9 2 4 2 4 2 2 3" xfId="25163" xr:uid="{501A94F4-B7B3-4F61-A164-82E724093799}"/>
    <cellStyle name="Normal 9 2 4 2 4 2 3" xfId="12505" xr:uid="{7727FD36-1F84-4E55-B216-8315478B70C6}"/>
    <cellStyle name="Normal 9 2 4 2 4 2 4" xfId="20946" xr:uid="{3CEBD4AE-D274-4610-93F2-2279942B4CF4}"/>
    <cellStyle name="Normal 9 2 4 2 4 3" xfId="6128" xr:uid="{00000000-0005-0000-0000-0000691F0000}"/>
    <cellStyle name="Normal 9 2 4 2 4 3 2" xfId="14578" xr:uid="{58451763-A11A-4DCD-8C60-18AA7BB90A4F}"/>
    <cellStyle name="Normal 9 2 4 2 4 3 3" xfId="23018" xr:uid="{26C3467E-D1D8-4BA2-8ACE-544380E7823A}"/>
    <cellStyle name="Normal 9 2 4 2 4 4" xfId="10360" xr:uid="{1073AD9F-9464-4B6D-B693-B0375DDECE96}"/>
    <cellStyle name="Normal 9 2 4 2 4 5" xfId="18801" xr:uid="{A846420E-BB8F-4255-9770-7CC0104F4DC0}"/>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18308DDC-A796-4280-9187-A5D87E40F9FE}"/>
    <cellStyle name="Normal 9 2 4 2 5 2 2 3" xfId="25576" xr:uid="{20E7D214-6747-4FA5-8081-01BECDDA26C7}"/>
    <cellStyle name="Normal 9 2 4 2 5 2 3" xfId="12918" xr:uid="{AF6093FC-9DFC-4AE0-ADE4-143DEE3A2BAE}"/>
    <cellStyle name="Normal 9 2 4 2 5 2 4" xfId="21359" xr:uid="{98BF2424-C667-4CE6-8CF1-23C076C3E5B3}"/>
    <cellStyle name="Normal 9 2 4 2 5 3" xfId="6541" xr:uid="{00000000-0005-0000-0000-00006D1F0000}"/>
    <cellStyle name="Normal 9 2 4 2 5 3 2" xfId="14991" xr:uid="{4CDA3701-F0FB-4223-9DE4-B4D5F507980F}"/>
    <cellStyle name="Normal 9 2 4 2 5 3 3" xfId="23431" xr:uid="{0AA86BBF-8596-481C-9CCB-A2816461654B}"/>
    <cellStyle name="Normal 9 2 4 2 5 4" xfId="10773" xr:uid="{DBD7EA31-DDF4-4832-B487-8C887833C69C}"/>
    <cellStyle name="Normal 9 2 4 2 5 5" xfId="19214" xr:uid="{CCA4A29F-7B4B-4A1E-9179-2CC151DC382C}"/>
    <cellStyle name="Normal 9 2 4 2 6" xfId="2671" xr:uid="{00000000-0005-0000-0000-00006E1F0000}"/>
    <cellStyle name="Normal 9 2 4 2 6 2" xfId="6954" xr:uid="{00000000-0005-0000-0000-00006F1F0000}"/>
    <cellStyle name="Normal 9 2 4 2 6 2 2" xfId="15404" xr:uid="{AF1347B9-86BB-4BE1-AD4C-2A93BC5ED295}"/>
    <cellStyle name="Normal 9 2 4 2 6 2 3" xfId="23844" xr:uid="{65CB4D19-79DF-4005-BADD-1D0082FAE0DE}"/>
    <cellStyle name="Normal 9 2 4 2 6 3" xfId="11186" xr:uid="{3F79AC39-50E5-4BCC-9E73-516AF90DE69E}"/>
    <cellStyle name="Normal 9 2 4 2 6 4" xfId="19627" xr:uid="{51315A51-1325-4C2A-918D-C118004AD71E}"/>
    <cellStyle name="Normal 9 2 4 2 7" xfId="4889" xr:uid="{00000000-0005-0000-0000-0000701F0000}"/>
    <cellStyle name="Normal 9 2 4 2 7 2" xfId="13339" xr:uid="{BFD8EDA7-834B-4B98-8ACE-99918AA6B911}"/>
    <cellStyle name="Normal 9 2 4 2 7 3" xfId="21779" xr:uid="{1EBAF817-20F5-435F-836A-E426B27CA08C}"/>
    <cellStyle name="Normal 9 2 4 2 8" xfId="9121" xr:uid="{D1A11F3A-5079-4211-8C50-14E56589858B}"/>
    <cellStyle name="Normal 9 2 4 2 9" xfId="17562" xr:uid="{DF6F1686-0C55-4039-B168-ABBC0EF62C89}"/>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7057AAEE-DAB5-41F9-9365-1575121D930B}"/>
    <cellStyle name="Normal 9 2 4 3 2 2 3" xfId="24336" xr:uid="{CB298DDA-4B73-4C80-B5C8-DD63012F363E}"/>
    <cellStyle name="Normal 9 2 4 3 2 3" xfId="11678" xr:uid="{314FDF07-5FA3-44C2-867D-FBE14D93D324}"/>
    <cellStyle name="Normal 9 2 4 3 2 4" xfId="20119" xr:uid="{836D5813-6B13-4A2E-9E90-EDCE4E992E38}"/>
    <cellStyle name="Normal 9 2 4 3 3" xfId="5301" xr:uid="{00000000-0005-0000-0000-0000741F0000}"/>
    <cellStyle name="Normal 9 2 4 3 3 2" xfId="13751" xr:uid="{64B3F2DB-FA5F-44AB-B1DC-42D1A26A0888}"/>
    <cellStyle name="Normal 9 2 4 3 3 3" xfId="22191" xr:uid="{B679BFC7-55D6-44C8-ADA9-E6A83EFCADFD}"/>
    <cellStyle name="Normal 9 2 4 3 4" xfId="9533" xr:uid="{C3C37928-E03F-4838-8587-C7A76B7ED5FA}"/>
    <cellStyle name="Normal 9 2 4 3 5" xfId="17974" xr:uid="{B2EE1D02-DA65-4E1C-9FDA-B6E585CB28E4}"/>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4B892738-A982-45BC-805D-715A2B9AFB5C}"/>
    <cellStyle name="Normal 9 2 4 4 2 2 3" xfId="24749" xr:uid="{D4766244-FAB3-45CD-B5F9-2AB3122734E5}"/>
    <cellStyle name="Normal 9 2 4 4 2 3" xfId="12091" xr:uid="{C6B76200-30DC-47B2-AA48-591CD7B7BA33}"/>
    <cellStyle name="Normal 9 2 4 4 2 4" xfId="20532" xr:uid="{09EBC925-87B9-4B69-9D4B-13A39D03E4DE}"/>
    <cellStyle name="Normal 9 2 4 4 3" xfId="5714" xr:uid="{00000000-0005-0000-0000-0000781F0000}"/>
    <cellStyle name="Normal 9 2 4 4 3 2" xfId="14164" xr:uid="{04C71B32-0E93-409B-B407-B86B82739329}"/>
    <cellStyle name="Normal 9 2 4 4 3 3" xfId="22604" xr:uid="{3890397D-7495-4025-8822-D7AB77EEEAEF}"/>
    <cellStyle name="Normal 9 2 4 4 4" xfId="9946" xr:uid="{9E11C9AD-AF11-49AD-989E-E98348EE6DE1}"/>
    <cellStyle name="Normal 9 2 4 4 5" xfId="18387" xr:uid="{B4E315C5-098D-435D-9835-1B5DFD45CEDE}"/>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CE752F65-1E6B-45DC-973C-33AE75A41AC4}"/>
    <cellStyle name="Normal 9 2 4 5 2 2 3" xfId="25162" xr:uid="{99AD2184-6C60-4D45-85B8-33F376802AA3}"/>
    <cellStyle name="Normal 9 2 4 5 2 3" xfId="12504" xr:uid="{760ACE80-DFC1-41FD-80D9-798A65C59E72}"/>
    <cellStyle name="Normal 9 2 4 5 2 4" xfId="20945" xr:uid="{5DC44C95-BF83-4380-A418-4C6B389B1721}"/>
    <cellStyle name="Normal 9 2 4 5 3" xfId="6127" xr:uid="{00000000-0005-0000-0000-00007C1F0000}"/>
    <cellStyle name="Normal 9 2 4 5 3 2" xfId="14577" xr:uid="{3D33CAFE-E1E2-4FEE-8C5A-3FF26D2E3AAA}"/>
    <cellStyle name="Normal 9 2 4 5 3 3" xfId="23017" xr:uid="{1DA50AD5-F595-4F65-9142-88D71CDEA412}"/>
    <cellStyle name="Normal 9 2 4 5 4" xfId="10359" xr:uid="{65743152-6211-42AA-923A-9D9E2E78731E}"/>
    <cellStyle name="Normal 9 2 4 5 5" xfId="18800" xr:uid="{8862A061-318B-4AFE-A793-493B0953F74C}"/>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82231D15-ABF9-4E01-AD49-D0E59883FAE6}"/>
    <cellStyle name="Normal 9 2 4 6 2 2 3" xfId="25575" xr:uid="{1DEA6332-DFFD-4877-9BEC-122C85D85119}"/>
    <cellStyle name="Normal 9 2 4 6 2 3" xfId="12917" xr:uid="{EE56AD28-4A25-4CDF-A82E-7A7F19125585}"/>
    <cellStyle name="Normal 9 2 4 6 2 4" xfId="21358" xr:uid="{99C7EF63-31EC-4852-8C34-683D3B1EDC32}"/>
    <cellStyle name="Normal 9 2 4 6 3" xfId="6540" xr:uid="{00000000-0005-0000-0000-0000801F0000}"/>
    <cellStyle name="Normal 9 2 4 6 3 2" xfId="14990" xr:uid="{E158A2C0-C14C-4EBD-A421-BD0F9A0E588C}"/>
    <cellStyle name="Normal 9 2 4 6 3 3" xfId="23430" xr:uid="{D9CEEB01-FEAB-4560-9F21-7A38CEBCD3B8}"/>
    <cellStyle name="Normal 9 2 4 6 4" xfId="10772" xr:uid="{102AC879-34DA-4965-9314-8D0C513DA926}"/>
    <cellStyle name="Normal 9 2 4 6 5" xfId="19213" xr:uid="{9FB22266-3AD1-4AEE-947B-FCF1C80098BE}"/>
    <cellStyle name="Normal 9 2 4 7" xfId="2670" xr:uid="{00000000-0005-0000-0000-0000811F0000}"/>
    <cellStyle name="Normal 9 2 4 7 2" xfId="6953" xr:uid="{00000000-0005-0000-0000-0000821F0000}"/>
    <cellStyle name="Normal 9 2 4 7 2 2" xfId="15403" xr:uid="{2EDA0316-6181-460B-99E2-BE9668D9BDBA}"/>
    <cellStyle name="Normal 9 2 4 7 2 3" xfId="23843" xr:uid="{796A20B9-F269-437C-8984-244EE3B81026}"/>
    <cellStyle name="Normal 9 2 4 7 3" xfId="11185" xr:uid="{38643FC4-AEED-4A5C-8388-69A9A023B270}"/>
    <cellStyle name="Normal 9 2 4 7 4" xfId="19626" xr:uid="{3BD4F66C-C248-44E2-AE81-96B2397FD091}"/>
    <cellStyle name="Normal 9 2 4 8" xfId="4888" xr:uid="{00000000-0005-0000-0000-0000831F0000}"/>
    <cellStyle name="Normal 9 2 4 8 2" xfId="13338" xr:uid="{3601CF17-FE8F-4FAB-A0A7-50A8D744BD33}"/>
    <cellStyle name="Normal 9 2 4 8 3" xfId="21778" xr:uid="{771BB4C8-58AC-4401-936D-A04A17A6D3AC}"/>
    <cellStyle name="Normal 9 2 4 9" xfId="9120" xr:uid="{C8A3AE14-3302-4199-97B9-5B00F06D88F1}"/>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B7339307-C674-43F8-94CB-220D02238068}"/>
    <cellStyle name="Normal 9 2 5 2 2 2 3" xfId="24338" xr:uid="{1A2FFC88-6B25-4B3D-946C-6E3DEDAD22F5}"/>
    <cellStyle name="Normal 9 2 5 2 2 3" xfId="11680" xr:uid="{A7641072-A868-4540-86B7-577C22F2CB9E}"/>
    <cellStyle name="Normal 9 2 5 2 2 4" xfId="20121" xr:uid="{A31D9662-8B3C-46A4-BAA3-8460D958ACEF}"/>
    <cellStyle name="Normal 9 2 5 2 3" xfId="5303" xr:uid="{00000000-0005-0000-0000-0000881F0000}"/>
    <cellStyle name="Normal 9 2 5 2 3 2" xfId="13753" xr:uid="{5F8B5BDE-3797-42C4-81CF-697EE121DE82}"/>
    <cellStyle name="Normal 9 2 5 2 3 3" xfId="22193" xr:uid="{A73A63E8-088B-47F6-867D-0628EA9C9144}"/>
    <cellStyle name="Normal 9 2 5 2 4" xfId="9535" xr:uid="{04369B73-C822-4719-B612-8566E5712A5F}"/>
    <cellStyle name="Normal 9 2 5 2 5" xfId="17976" xr:uid="{168CC566-6373-46EA-8D6E-A4B86FA001C1}"/>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23492E44-EA82-488A-BB7D-D5F6CD68E9C8}"/>
    <cellStyle name="Normal 9 2 5 3 2 2 3" xfId="24751" xr:uid="{1084AF27-915B-40EB-82A3-9D34A0DCF1BD}"/>
    <cellStyle name="Normal 9 2 5 3 2 3" xfId="12093" xr:uid="{B517F9CF-D8E8-4B4B-BEAF-BA72EBD69CE6}"/>
    <cellStyle name="Normal 9 2 5 3 2 4" xfId="20534" xr:uid="{B57B8688-912B-4370-9144-48F01575FCCE}"/>
    <cellStyle name="Normal 9 2 5 3 3" xfId="5716" xr:uid="{00000000-0005-0000-0000-00008C1F0000}"/>
    <cellStyle name="Normal 9 2 5 3 3 2" xfId="14166" xr:uid="{DB6C99F7-BA53-4417-AC84-8A901EC7EF91}"/>
    <cellStyle name="Normal 9 2 5 3 3 3" xfId="22606" xr:uid="{C3167C5F-4525-4125-A651-2721737950E7}"/>
    <cellStyle name="Normal 9 2 5 3 4" xfId="9948" xr:uid="{5BE1FA61-E9F2-4954-8096-780E2A67C380}"/>
    <cellStyle name="Normal 9 2 5 3 5" xfId="18389" xr:uid="{023052C5-24A2-4520-8C48-5688CDB77C9D}"/>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3020CD9E-498C-461A-88BB-EED504F3E483}"/>
    <cellStyle name="Normal 9 2 5 4 2 2 3" xfId="25164" xr:uid="{52E2C8F1-634D-4DC3-A42A-D358163BA067}"/>
    <cellStyle name="Normal 9 2 5 4 2 3" xfId="12506" xr:uid="{3E478D39-69FC-47D7-BB80-DABAC9D1A563}"/>
    <cellStyle name="Normal 9 2 5 4 2 4" xfId="20947" xr:uid="{18735C68-554A-437E-B195-B6C4F95E95A1}"/>
    <cellStyle name="Normal 9 2 5 4 3" xfId="6129" xr:uid="{00000000-0005-0000-0000-0000901F0000}"/>
    <cellStyle name="Normal 9 2 5 4 3 2" xfId="14579" xr:uid="{DF1830B4-83F1-4FA6-B0FD-EAB4A0548C54}"/>
    <cellStyle name="Normal 9 2 5 4 3 3" xfId="23019" xr:uid="{569666CC-9C7C-440D-B7D0-593C547CC3DA}"/>
    <cellStyle name="Normal 9 2 5 4 4" xfId="10361" xr:uid="{B622ECAA-941E-4D70-8B46-5A64BFAFE12A}"/>
    <cellStyle name="Normal 9 2 5 4 5" xfId="18802" xr:uid="{8102A7A5-C4E1-4075-A716-0D5CCA21122C}"/>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A6AF817-76A6-4D15-BA60-219B3107D8AD}"/>
    <cellStyle name="Normal 9 2 5 5 2 2 3" xfId="25577" xr:uid="{F9A4AA2A-2E11-461E-A44B-96DC28D4376D}"/>
    <cellStyle name="Normal 9 2 5 5 2 3" xfId="12919" xr:uid="{EB9291A0-5C29-44A0-8732-BD0DBBB16D0E}"/>
    <cellStyle name="Normal 9 2 5 5 2 4" xfId="21360" xr:uid="{DAE2D94B-ED8B-4C43-B661-419C381C40F0}"/>
    <cellStyle name="Normal 9 2 5 5 3" xfId="6542" xr:uid="{00000000-0005-0000-0000-0000941F0000}"/>
    <cellStyle name="Normal 9 2 5 5 3 2" xfId="14992" xr:uid="{2B9EAC15-CF6F-4543-AB68-822B565B340E}"/>
    <cellStyle name="Normal 9 2 5 5 3 3" xfId="23432" xr:uid="{D7DC66B0-3AA2-4909-8D22-35E4FE703D6F}"/>
    <cellStyle name="Normal 9 2 5 5 4" xfId="10774" xr:uid="{0BB4DF43-5E39-4AD9-9C78-F565AE5B506C}"/>
    <cellStyle name="Normal 9 2 5 5 5" xfId="19215" xr:uid="{B2AA33DE-51F7-41FA-AD44-7BB130100DAF}"/>
    <cellStyle name="Normal 9 2 5 6" xfId="2672" xr:uid="{00000000-0005-0000-0000-0000951F0000}"/>
    <cellStyle name="Normal 9 2 5 6 2" xfId="6955" xr:uid="{00000000-0005-0000-0000-0000961F0000}"/>
    <cellStyle name="Normal 9 2 5 6 2 2" xfId="15405" xr:uid="{5359C18D-0EC6-494A-9ED8-1A657DA2674C}"/>
    <cellStyle name="Normal 9 2 5 6 2 3" xfId="23845" xr:uid="{2DC44521-10AB-4BBD-AEBB-322C1EDEEAEC}"/>
    <cellStyle name="Normal 9 2 5 6 3" xfId="11187" xr:uid="{CC41964B-B93C-471C-BBDA-441E03627D3F}"/>
    <cellStyle name="Normal 9 2 5 6 4" xfId="19628" xr:uid="{343A428E-5F92-492B-A47F-94D3CCE17544}"/>
    <cellStyle name="Normal 9 2 5 7" xfId="4890" xr:uid="{00000000-0005-0000-0000-0000971F0000}"/>
    <cellStyle name="Normal 9 2 5 7 2" xfId="13340" xr:uid="{760B3972-F719-42CA-B93B-93718BDF9F24}"/>
    <cellStyle name="Normal 9 2 5 7 3" xfId="21780" xr:uid="{80A42773-9414-4DA6-8753-4847B9B220F6}"/>
    <cellStyle name="Normal 9 2 5 8" xfId="9122" xr:uid="{61CD16B7-205E-4599-8EB8-16F89924F27D}"/>
    <cellStyle name="Normal 9 2 5 9" xfId="17563" xr:uid="{9FCFD574-01D0-4539-990F-2FC09148B201}"/>
    <cellStyle name="Normal 9 2 6" xfId="978" xr:uid="{00000000-0005-0000-0000-0000981F0000}"/>
    <cellStyle name="Normal 9 2 6 2" xfId="3211" xr:uid="{00000000-0005-0000-0000-0000991F0000}"/>
    <cellStyle name="Normal 9 2 6 2 2" xfId="7433" xr:uid="{00000000-0005-0000-0000-00009A1F0000}"/>
    <cellStyle name="Normal 9 2 6 2 2 2" xfId="15883" xr:uid="{5B401EE0-C889-464B-A893-F3B126E09274}"/>
    <cellStyle name="Normal 9 2 6 2 2 3" xfId="24323" xr:uid="{4F483609-940A-4287-B91D-7658E3764526}"/>
    <cellStyle name="Normal 9 2 6 2 3" xfId="11665" xr:uid="{93909618-C03C-480F-98B4-3CEF5C48DB5C}"/>
    <cellStyle name="Normal 9 2 6 2 4" xfId="20106" xr:uid="{DB63A065-273D-453B-A14A-0CECF476B6BD}"/>
    <cellStyle name="Normal 9 2 6 3" xfId="5288" xr:uid="{00000000-0005-0000-0000-00009B1F0000}"/>
    <cellStyle name="Normal 9 2 6 3 2" xfId="13738" xr:uid="{9AEAACC8-D9F2-4892-B623-038B006792DE}"/>
    <cellStyle name="Normal 9 2 6 3 3" xfId="22178" xr:uid="{90852E3E-F2BD-4DE9-9CA6-5AD2AF75CB10}"/>
    <cellStyle name="Normal 9 2 6 4" xfId="9520" xr:uid="{8A212882-E219-4860-AA2E-CD08E3266F7D}"/>
    <cellStyle name="Normal 9 2 6 5" xfId="17961" xr:uid="{46C894BC-35D8-4843-AE91-AB557C822E1E}"/>
    <cellStyle name="Normal 9 2 7" xfId="1394" xr:uid="{00000000-0005-0000-0000-00009C1F0000}"/>
    <cellStyle name="Normal 9 2 7 2" xfId="3624" xr:uid="{00000000-0005-0000-0000-00009D1F0000}"/>
    <cellStyle name="Normal 9 2 7 2 2" xfId="7846" xr:uid="{00000000-0005-0000-0000-00009E1F0000}"/>
    <cellStyle name="Normal 9 2 7 2 2 2" xfId="16296" xr:uid="{AFFE535B-515B-46C8-A0C5-85D5450CF967}"/>
    <cellStyle name="Normal 9 2 7 2 2 3" xfId="24736" xr:uid="{A6B71BF4-E03F-41E0-ABA9-276DEEE5CFDE}"/>
    <cellStyle name="Normal 9 2 7 2 3" xfId="12078" xr:uid="{4CE78971-E770-4804-9AF4-96A807185A8F}"/>
    <cellStyle name="Normal 9 2 7 2 4" xfId="20519" xr:uid="{B9195638-831F-4687-BCE0-F9CE0941B1D4}"/>
    <cellStyle name="Normal 9 2 7 3" xfId="5701" xr:uid="{00000000-0005-0000-0000-00009F1F0000}"/>
    <cellStyle name="Normal 9 2 7 3 2" xfId="14151" xr:uid="{851FF453-F201-48F7-B7D0-C974E7DDA471}"/>
    <cellStyle name="Normal 9 2 7 3 3" xfId="22591" xr:uid="{F7680A9E-D473-44B6-98F3-5BD6B7B5217C}"/>
    <cellStyle name="Normal 9 2 7 4" xfId="9933" xr:uid="{6BCB1026-B858-4522-9333-B4604F1CA3C9}"/>
    <cellStyle name="Normal 9 2 7 5" xfId="18374" xr:uid="{A6C1CA4B-7B3E-4F81-A766-C34DEC7838BE}"/>
    <cellStyle name="Normal 9 2 8" xfId="1807" xr:uid="{00000000-0005-0000-0000-0000A01F0000}"/>
    <cellStyle name="Normal 9 2 8 2" xfId="4037" xr:uid="{00000000-0005-0000-0000-0000A11F0000}"/>
    <cellStyle name="Normal 9 2 8 2 2" xfId="8259" xr:uid="{00000000-0005-0000-0000-0000A21F0000}"/>
    <cellStyle name="Normal 9 2 8 2 2 2" xfId="16709" xr:uid="{90EF2B54-8093-4266-8CD3-5680B2D7747A}"/>
    <cellStyle name="Normal 9 2 8 2 2 3" xfId="25149" xr:uid="{249B0E3B-2719-475F-9747-88E61FCFA9D9}"/>
    <cellStyle name="Normal 9 2 8 2 3" xfId="12491" xr:uid="{38D5A2A6-CDEB-46CA-9023-FBE1228653C2}"/>
    <cellStyle name="Normal 9 2 8 2 4" xfId="20932" xr:uid="{27B683D5-B23C-469F-ABAC-18B9F7E3C405}"/>
    <cellStyle name="Normal 9 2 8 3" xfId="6114" xr:uid="{00000000-0005-0000-0000-0000A31F0000}"/>
    <cellStyle name="Normal 9 2 8 3 2" xfId="14564" xr:uid="{E217CB9E-9334-48BD-A8DF-20AA919F57B7}"/>
    <cellStyle name="Normal 9 2 8 3 3" xfId="23004" xr:uid="{A2A5C307-DA14-4A39-B936-A57AF1710051}"/>
    <cellStyle name="Normal 9 2 8 4" xfId="10346" xr:uid="{21C5D94F-50E3-48F2-9063-88189AEF79FC}"/>
    <cellStyle name="Normal 9 2 8 5" xfId="18787" xr:uid="{59D2F7E2-DECE-4C1E-B68B-F34A776ED68D}"/>
    <cellStyle name="Normal 9 2 9" xfId="2221" xr:uid="{00000000-0005-0000-0000-0000A41F0000}"/>
    <cellStyle name="Normal 9 2 9 2" xfId="4450" xr:uid="{00000000-0005-0000-0000-0000A51F0000}"/>
    <cellStyle name="Normal 9 2 9 2 2" xfId="8672" xr:uid="{00000000-0005-0000-0000-0000A61F0000}"/>
    <cellStyle name="Normal 9 2 9 2 2 2" xfId="17122" xr:uid="{8F07FDB4-EAB2-42DD-91FD-D4BF9E8D068D}"/>
    <cellStyle name="Normal 9 2 9 2 2 3" xfId="25562" xr:uid="{6AA80221-7B18-4D8E-B796-1ECC2FF177FD}"/>
    <cellStyle name="Normal 9 2 9 2 3" xfId="12904" xr:uid="{F7B53F95-51C0-452C-95CB-27B171FA27A6}"/>
    <cellStyle name="Normal 9 2 9 2 4" xfId="21345" xr:uid="{4F86AB40-9711-4377-A50A-5899F32495BF}"/>
    <cellStyle name="Normal 9 2 9 3" xfId="6527" xr:uid="{00000000-0005-0000-0000-0000A71F0000}"/>
    <cellStyle name="Normal 9 2 9 3 2" xfId="14977" xr:uid="{899E66B1-EFCE-45ED-9C87-57BEA3272210}"/>
    <cellStyle name="Normal 9 2 9 3 3" xfId="23417" xr:uid="{ADA87FD2-9B04-44C4-B1C2-1A1DC2B128CE}"/>
    <cellStyle name="Normal 9 2 9 4" xfId="10759" xr:uid="{58E7D436-F04A-4B02-923D-9379CA1E843E}"/>
    <cellStyle name="Normal 9 2 9 5" xfId="19200" xr:uid="{9733EFE2-2DC3-4F20-B693-F49064C18D0B}"/>
    <cellStyle name="Normal 9 3" xfId="527" xr:uid="{00000000-0005-0000-0000-0000A81F0000}"/>
    <cellStyle name="Normal 9 3 10" xfId="4891" xr:uid="{00000000-0005-0000-0000-0000A91F0000}"/>
    <cellStyle name="Normal 9 3 10 2" xfId="13341" xr:uid="{F5C06838-A5F5-4906-BFCC-E8C49A571F4D}"/>
    <cellStyle name="Normal 9 3 10 3" xfId="21781" xr:uid="{AF31832A-EE0D-4806-970E-37BC04251A7F}"/>
    <cellStyle name="Normal 9 3 11" xfId="9123" xr:uid="{2093D73D-403E-4F27-BF6B-9BF2F3A3062E}"/>
    <cellStyle name="Normal 9 3 12" xfId="17564" xr:uid="{703C91B6-027A-4E85-8B10-1D407F3C81C0}"/>
    <cellStyle name="Normal 9 3 2" xfId="528" xr:uid="{00000000-0005-0000-0000-0000AA1F0000}"/>
    <cellStyle name="Normal 9 3 2 10" xfId="9124" xr:uid="{A85B918A-21AD-4B6F-AE32-A9289340CCE2}"/>
    <cellStyle name="Normal 9 3 2 11" xfId="17565" xr:uid="{204E6E9E-1D66-450E-8AFD-5F6609F13A29}"/>
    <cellStyle name="Normal 9 3 2 2" xfId="529" xr:uid="{00000000-0005-0000-0000-0000AB1F0000}"/>
    <cellStyle name="Normal 9 3 2 2 10" xfId="17566" xr:uid="{29100A8D-8760-4561-BB6F-2E667BDC766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7AFA7C63-5379-401B-A05D-E2ADE71AE987}"/>
    <cellStyle name="Normal 9 3 2 2 2 2 2 2 3" xfId="24342" xr:uid="{739BCDEC-4D2F-4A95-9B25-ED5CF61C4275}"/>
    <cellStyle name="Normal 9 3 2 2 2 2 2 3" xfId="11684" xr:uid="{777B0DA0-61B4-49C5-85DC-A7FD991BADD6}"/>
    <cellStyle name="Normal 9 3 2 2 2 2 2 4" xfId="20125" xr:uid="{32F7FFAE-94E0-465C-91B3-05033FBFFDFF}"/>
    <cellStyle name="Normal 9 3 2 2 2 2 3" xfId="5307" xr:uid="{00000000-0005-0000-0000-0000B01F0000}"/>
    <cellStyle name="Normal 9 3 2 2 2 2 3 2" xfId="13757" xr:uid="{202F2936-9846-4C8F-B064-D8539FE711B6}"/>
    <cellStyle name="Normal 9 3 2 2 2 2 3 3" xfId="22197" xr:uid="{ADC0389E-24E7-4256-A4CE-10739DA5CE32}"/>
    <cellStyle name="Normal 9 3 2 2 2 2 4" xfId="9539" xr:uid="{98F421EA-2AD6-43B5-A8A5-C41D603136D1}"/>
    <cellStyle name="Normal 9 3 2 2 2 2 5" xfId="17980" xr:uid="{1E522C68-579F-44EF-9B1D-568635A6D429}"/>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6CE8C588-2719-4CF5-83EE-37F1DC462590}"/>
    <cellStyle name="Normal 9 3 2 2 2 3 2 2 3" xfId="24755" xr:uid="{EC8FE4AB-324D-4FA7-8DDF-89C24A3E22B3}"/>
    <cellStyle name="Normal 9 3 2 2 2 3 2 3" xfId="12097" xr:uid="{76C036E6-8C5A-4370-B639-8AA408A0B067}"/>
    <cellStyle name="Normal 9 3 2 2 2 3 2 4" xfId="20538" xr:uid="{D80991F6-A331-4662-A519-99E01D4523AF}"/>
    <cellStyle name="Normal 9 3 2 2 2 3 3" xfId="5720" xr:uid="{00000000-0005-0000-0000-0000B41F0000}"/>
    <cellStyle name="Normal 9 3 2 2 2 3 3 2" xfId="14170" xr:uid="{FD21F6EB-01BE-480A-9405-BD95688F30F6}"/>
    <cellStyle name="Normal 9 3 2 2 2 3 3 3" xfId="22610" xr:uid="{8FDF68C0-56DC-4F7C-A71E-CB3A888415DC}"/>
    <cellStyle name="Normal 9 3 2 2 2 3 4" xfId="9952" xr:uid="{07CF0D14-FDA5-450F-B0FA-0F0310A0EFB5}"/>
    <cellStyle name="Normal 9 3 2 2 2 3 5" xfId="18393" xr:uid="{E275EC56-629D-4129-A6E1-028CDDE82D5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3ECDF200-1B3A-42BC-8754-084698C9FF85}"/>
    <cellStyle name="Normal 9 3 2 2 2 4 2 2 3" xfId="25168" xr:uid="{26AF8615-0204-48B2-91A1-C1722959D058}"/>
    <cellStyle name="Normal 9 3 2 2 2 4 2 3" xfId="12510" xr:uid="{797E0393-A1CE-426C-90A6-971CCCD178B9}"/>
    <cellStyle name="Normal 9 3 2 2 2 4 2 4" xfId="20951" xr:uid="{B84AE53E-B065-4C35-B87B-A330ACBC9F22}"/>
    <cellStyle name="Normal 9 3 2 2 2 4 3" xfId="6133" xr:uid="{00000000-0005-0000-0000-0000B81F0000}"/>
    <cellStyle name="Normal 9 3 2 2 2 4 3 2" xfId="14583" xr:uid="{6C9336A3-F34F-4B16-9774-5C4FA1ECC5FF}"/>
    <cellStyle name="Normal 9 3 2 2 2 4 3 3" xfId="23023" xr:uid="{9CF4EEF5-FDBD-47B0-B444-BD0325B6CA0D}"/>
    <cellStyle name="Normal 9 3 2 2 2 4 4" xfId="10365" xr:uid="{DC56C8CB-AB66-406C-A06F-04384354BA2F}"/>
    <cellStyle name="Normal 9 3 2 2 2 4 5" xfId="18806" xr:uid="{08A76AE9-D09A-43FE-A904-BE70A69768A1}"/>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6898CC7F-BAB3-4C23-8E8B-819559D32B00}"/>
    <cellStyle name="Normal 9 3 2 2 2 5 2 2 3" xfId="25581" xr:uid="{2F5B94F9-ADF4-487A-B69F-B6AA2E6B8D85}"/>
    <cellStyle name="Normal 9 3 2 2 2 5 2 3" xfId="12923" xr:uid="{E083B69B-C047-46F1-953D-931F75068D82}"/>
    <cellStyle name="Normal 9 3 2 2 2 5 2 4" xfId="21364" xr:uid="{49CB3F1F-2461-4425-A150-F25EA27B9A0C}"/>
    <cellStyle name="Normal 9 3 2 2 2 5 3" xfId="6546" xr:uid="{00000000-0005-0000-0000-0000BC1F0000}"/>
    <cellStyle name="Normal 9 3 2 2 2 5 3 2" xfId="14996" xr:uid="{779B68F5-B3EE-4230-AF88-0A459B577D0D}"/>
    <cellStyle name="Normal 9 3 2 2 2 5 3 3" xfId="23436" xr:uid="{086EAE97-FD05-478E-8A6D-D6EACCFB434E}"/>
    <cellStyle name="Normal 9 3 2 2 2 5 4" xfId="10778" xr:uid="{F6C7B13F-CF89-4181-A63E-CCB43E11B75E}"/>
    <cellStyle name="Normal 9 3 2 2 2 5 5" xfId="19219" xr:uid="{E3FF7B8B-0222-45C8-856A-CF7C62909690}"/>
    <cellStyle name="Normal 9 3 2 2 2 6" xfId="2676" xr:uid="{00000000-0005-0000-0000-0000BD1F0000}"/>
    <cellStyle name="Normal 9 3 2 2 2 6 2" xfId="6959" xr:uid="{00000000-0005-0000-0000-0000BE1F0000}"/>
    <cellStyle name="Normal 9 3 2 2 2 6 2 2" xfId="15409" xr:uid="{9AAD1663-7FF1-4B0A-A8A9-6C42F3B51DCC}"/>
    <cellStyle name="Normal 9 3 2 2 2 6 2 3" xfId="23849" xr:uid="{DAD3E459-B7ED-4175-B1A2-650539D4D0B6}"/>
    <cellStyle name="Normal 9 3 2 2 2 6 3" xfId="11191" xr:uid="{421769A1-C93B-4953-B072-AB3F0FC38E34}"/>
    <cellStyle name="Normal 9 3 2 2 2 6 4" xfId="19632" xr:uid="{9CA01787-716F-4CE8-B860-B584DB40DC17}"/>
    <cellStyle name="Normal 9 3 2 2 2 7" xfId="4894" xr:uid="{00000000-0005-0000-0000-0000BF1F0000}"/>
    <cellStyle name="Normal 9 3 2 2 2 7 2" xfId="13344" xr:uid="{D85D9599-14E3-4F65-88F4-616138C742A3}"/>
    <cellStyle name="Normal 9 3 2 2 2 7 3" xfId="21784" xr:uid="{2BDC9A1B-6CFB-4121-AF78-1E99727A8F10}"/>
    <cellStyle name="Normal 9 3 2 2 2 8" xfId="9126" xr:uid="{2EA849F7-A0F1-415B-8AE4-C95C38286F0D}"/>
    <cellStyle name="Normal 9 3 2 2 2 9" xfId="17567" xr:uid="{04780752-CF9F-4265-B02E-6549EB1CAEDA}"/>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48DAACE3-4C82-4195-A8DD-DC6A12540507}"/>
    <cellStyle name="Normal 9 3 2 2 3 2 2 3" xfId="24341" xr:uid="{8FB72293-DE6D-49FB-A053-440EB567F79B}"/>
    <cellStyle name="Normal 9 3 2 2 3 2 3" xfId="11683" xr:uid="{D9E91988-BC4D-4EDF-B274-A555888CB30E}"/>
    <cellStyle name="Normal 9 3 2 2 3 2 4" xfId="20124" xr:uid="{04F566B3-7605-4801-B955-E0FED252AFBC}"/>
    <cellStyle name="Normal 9 3 2 2 3 3" xfId="5306" xr:uid="{00000000-0005-0000-0000-0000C31F0000}"/>
    <cellStyle name="Normal 9 3 2 2 3 3 2" xfId="13756" xr:uid="{D02E1117-BFFD-412B-B83D-4F2345842703}"/>
    <cellStyle name="Normal 9 3 2 2 3 3 3" xfId="22196" xr:uid="{C508B628-7BAE-429A-85D1-67731BE0FE15}"/>
    <cellStyle name="Normal 9 3 2 2 3 4" xfId="9538" xr:uid="{9A6DB43A-3EE0-4466-9536-15C431060319}"/>
    <cellStyle name="Normal 9 3 2 2 3 5" xfId="17979" xr:uid="{85EB8DF5-AFB7-4461-935C-4233AF846E10}"/>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D683B7C1-C341-4ADB-A746-2AE8B5BEE68F}"/>
    <cellStyle name="Normal 9 3 2 2 4 2 2 3" xfId="24754" xr:uid="{358C8817-9A9D-41F5-A8D1-112C15B1E3DF}"/>
    <cellStyle name="Normal 9 3 2 2 4 2 3" xfId="12096" xr:uid="{4BC3D7FF-1E70-48D5-8E92-80160FABCEB7}"/>
    <cellStyle name="Normal 9 3 2 2 4 2 4" xfId="20537" xr:uid="{39E20AE2-7566-4446-A00F-13142B492666}"/>
    <cellStyle name="Normal 9 3 2 2 4 3" xfId="5719" xr:uid="{00000000-0005-0000-0000-0000C71F0000}"/>
    <cellStyle name="Normal 9 3 2 2 4 3 2" xfId="14169" xr:uid="{6DEAA2EF-0318-4C2E-AB2D-FD2A55A732C0}"/>
    <cellStyle name="Normal 9 3 2 2 4 3 3" xfId="22609" xr:uid="{20D6EB36-657E-483B-B5C2-BC2ECBD97E79}"/>
    <cellStyle name="Normal 9 3 2 2 4 4" xfId="9951" xr:uid="{56535474-8D40-421C-842F-629FAD32BDB7}"/>
    <cellStyle name="Normal 9 3 2 2 4 5" xfId="18392" xr:uid="{58015D94-4C82-4D95-B00A-3958E3CA609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4F4B5B01-AC3D-4B36-899E-9C57E2920206}"/>
    <cellStyle name="Normal 9 3 2 2 5 2 2 3" xfId="25167" xr:uid="{13064E5C-5DF2-4F7C-8D96-BA7659C30D57}"/>
    <cellStyle name="Normal 9 3 2 2 5 2 3" xfId="12509" xr:uid="{377187B8-81BF-45B6-82D4-7CCFFD2E7912}"/>
    <cellStyle name="Normal 9 3 2 2 5 2 4" xfId="20950" xr:uid="{317CACB4-890B-41DC-BCDC-93312C6969EE}"/>
    <cellStyle name="Normal 9 3 2 2 5 3" xfId="6132" xr:uid="{00000000-0005-0000-0000-0000CB1F0000}"/>
    <cellStyle name="Normal 9 3 2 2 5 3 2" xfId="14582" xr:uid="{BF8B83CD-113D-474E-95E6-58EFFAD7C50D}"/>
    <cellStyle name="Normal 9 3 2 2 5 3 3" xfId="23022" xr:uid="{0DBB8F26-5248-437C-8F06-3E517840FF0D}"/>
    <cellStyle name="Normal 9 3 2 2 5 4" xfId="10364" xr:uid="{0611F882-1932-432C-900A-2B90EAC6F809}"/>
    <cellStyle name="Normal 9 3 2 2 5 5" xfId="18805" xr:uid="{7D54B669-DD2C-49B9-870C-98F01030529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1EA9A1FD-1D1C-4FC0-A395-61369FE6B156}"/>
    <cellStyle name="Normal 9 3 2 2 6 2 2 3" xfId="25580" xr:uid="{6ADCDBA7-B048-4452-800B-7A1DDD8A9496}"/>
    <cellStyle name="Normal 9 3 2 2 6 2 3" xfId="12922" xr:uid="{0A3EC981-93BA-4984-9B11-FE99B397A894}"/>
    <cellStyle name="Normal 9 3 2 2 6 2 4" xfId="21363" xr:uid="{997B1125-DE40-4D11-92CE-F707B78D4289}"/>
    <cellStyle name="Normal 9 3 2 2 6 3" xfId="6545" xr:uid="{00000000-0005-0000-0000-0000CF1F0000}"/>
    <cellStyle name="Normal 9 3 2 2 6 3 2" xfId="14995" xr:uid="{225F1B34-AE70-4BAB-B55D-E79352E6D374}"/>
    <cellStyle name="Normal 9 3 2 2 6 3 3" xfId="23435" xr:uid="{2FFA10FB-C23D-45DB-86C8-736BF11DDF1E}"/>
    <cellStyle name="Normal 9 3 2 2 6 4" xfId="10777" xr:uid="{BEBFE077-F70C-4EAC-BECC-EB287273E37C}"/>
    <cellStyle name="Normal 9 3 2 2 6 5" xfId="19218" xr:uid="{F992C8BB-88A2-496F-A13C-598A7DB67EE7}"/>
    <cellStyle name="Normal 9 3 2 2 7" xfId="2675" xr:uid="{00000000-0005-0000-0000-0000D01F0000}"/>
    <cellStyle name="Normal 9 3 2 2 7 2" xfId="6958" xr:uid="{00000000-0005-0000-0000-0000D11F0000}"/>
    <cellStyle name="Normal 9 3 2 2 7 2 2" xfId="15408" xr:uid="{69231FF4-0C56-4675-AE8A-89598EDF09FE}"/>
    <cellStyle name="Normal 9 3 2 2 7 2 3" xfId="23848" xr:uid="{BA3C7411-0D6E-4FD6-8E99-5E345D8A75AC}"/>
    <cellStyle name="Normal 9 3 2 2 7 3" xfId="11190" xr:uid="{05255A8D-7F25-4566-BB91-A31102837F12}"/>
    <cellStyle name="Normal 9 3 2 2 7 4" xfId="19631" xr:uid="{427B186B-459E-44E3-98E9-490B347F56A2}"/>
    <cellStyle name="Normal 9 3 2 2 8" xfId="4893" xr:uid="{00000000-0005-0000-0000-0000D21F0000}"/>
    <cellStyle name="Normal 9 3 2 2 8 2" xfId="13343" xr:uid="{225819EE-1992-4FA2-A42C-82C72AA91ADE}"/>
    <cellStyle name="Normal 9 3 2 2 8 3" xfId="21783" xr:uid="{14AF52F1-0FBE-4DDE-863E-E91A05FBA631}"/>
    <cellStyle name="Normal 9 3 2 2 9" xfId="9125" xr:uid="{4D43EE6D-09AE-4445-9274-235EDFD123D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CBF5C49F-5ACB-4DA5-AD97-8BBB615F2A43}"/>
    <cellStyle name="Normal 9 3 2 3 2 2 2 3" xfId="24343" xr:uid="{7C982E6A-A991-4F4D-9EBA-AF969A3D9773}"/>
    <cellStyle name="Normal 9 3 2 3 2 2 3" xfId="11685" xr:uid="{F16F8684-5A43-4ED6-867B-21090205BA1E}"/>
    <cellStyle name="Normal 9 3 2 3 2 2 4" xfId="20126" xr:uid="{AC67E4D6-29A6-4C70-96A3-6EB141D9197E}"/>
    <cellStyle name="Normal 9 3 2 3 2 3" xfId="5308" xr:uid="{00000000-0005-0000-0000-0000D71F0000}"/>
    <cellStyle name="Normal 9 3 2 3 2 3 2" xfId="13758" xr:uid="{EDC4290E-1CA9-439C-83DA-18A2FBE4CC40}"/>
    <cellStyle name="Normal 9 3 2 3 2 3 3" xfId="22198" xr:uid="{6B31226D-B46F-4188-B93F-D97C223579BB}"/>
    <cellStyle name="Normal 9 3 2 3 2 4" xfId="9540" xr:uid="{A557A1AE-3CF2-4C11-B290-173F71B9951E}"/>
    <cellStyle name="Normal 9 3 2 3 2 5" xfId="17981" xr:uid="{301E4F01-711B-493C-BF5F-9504F6E555B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E10D183A-0E5C-4557-B9D8-2E65715FCF30}"/>
    <cellStyle name="Normal 9 3 2 3 3 2 2 3" xfId="24756" xr:uid="{87A43923-B9EC-4326-B0E0-0EBE068EC758}"/>
    <cellStyle name="Normal 9 3 2 3 3 2 3" xfId="12098" xr:uid="{BC778AC7-9B98-4C67-90BD-BC573892C304}"/>
    <cellStyle name="Normal 9 3 2 3 3 2 4" xfId="20539" xr:uid="{133BF7DD-D71E-4C44-955C-A0E25984B094}"/>
    <cellStyle name="Normal 9 3 2 3 3 3" xfId="5721" xr:uid="{00000000-0005-0000-0000-0000DB1F0000}"/>
    <cellStyle name="Normal 9 3 2 3 3 3 2" xfId="14171" xr:uid="{20603C51-A494-49CF-8F15-A5CD420BCF67}"/>
    <cellStyle name="Normal 9 3 2 3 3 3 3" xfId="22611" xr:uid="{0AF1A8D4-1A92-4166-9148-734EB1FE0EB8}"/>
    <cellStyle name="Normal 9 3 2 3 3 4" xfId="9953" xr:uid="{43312CEC-8651-4E14-821B-215F57431560}"/>
    <cellStyle name="Normal 9 3 2 3 3 5" xfId="18394" xr:uid="{70FC95F4-E144-45DC-A60F-10DF5040F447}"/>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69415FC3-53DE-4CDA-8A9A-F97BD86CC0E4}"/>
    <cellStyle name="Normal 9 3 2 3 4 2 2 3" xfId="25169" xr:uid="{EC441AAF-03A5-4081-BCD8-185EFCC98F0E}"/>
    <cellStyle name="Normal 9 3 2 3 4 2 3" xfId="12511" xr:uid="{F0E1E84C-9023-4D29-B01C-720DBAC29140}"/>
    <cellStyle name="Normal 9 3 2 3 4 2 4" xfId="20952" xr:uid="{65888F87-75BE-4157-BC26-7C23FE1D1B1D}"/>
    <cellStyle name="Normal 9 3 2 3 4 3" xfId="6134" xr:uid="{00000000-0005-0000-0000-0000DF1F0000}"/>
    <cellStyle name="Normal 9 3 2 3 4 3 2" xfId="14584" xr:uid="{E4A7D789-D1C6-43F7-B75F-CA1EAA977B9B}"/>
    <cellStyle name="Normal 9 3 2 3 4 3 3" xfId="23024" xr:uid="{771F0E26-CAE4-4B53-8902-D2D4B1E487CC}"/>
    <cellStyle name="Normal 9 3 2 3 4 4" xfId="10366" xr:uid="{4A1719EB-4627-4827-A5AB-91A58A0E9E6B}"/>
    <cellStyle name="Normal 9 3 2 3 4 5" xfId="18807" xr:uid="{1B76CE20-2325-4D75-994C-9BF68775E04D}"/>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5E6B7435-79B2-409D-8117-5BE7B6A161EA}"/>
    <cellStyle name="Normal 9 3 2 3 5 2 2 3" xfId="25582" xr:uid="{CB595859-4FAD-4964-9A44-433C5A818EF9}"/>
    <cellStyle name="Normal 9 3 2 3 5 2 3" xfId="12924" xr:uid="{5094BDE0-7BC9-450D-87A8-9BC2D4E6A736}"/>
    <cellStyle name="Normal 9 3 2 3 5 2 4" xfId="21365" xr:uid="{1B893E09-2740-42CC-9414-5A6E10D75127}"/>
    <cellStyle name="Normal 9 3 2 3 5 3" xfId="6547" xr:uid="{00000000-0005-0000-0000-0000E31F0000}"/>
    <cellStyle name="Normal 9 3 2 3 5 3 2" xfId="14997" xr:uid="{EDB46341-BBED-4837-A719-A3D3564CB5C3}"/>
    <cellStyle name="Normal 9 3 2 3 5 3 3" xfId="23437" xr:uid="{ED9400A0-33B1-427A-A130-B2435DA39531}"/>
    <cellStyle name="Normal 9 3 2 3 5 4" xfId="10779" xr:uid="{D02D10DB-A189-40A7-A22D-52644424DFE9}"/>
    <cellStyle name="Normal 9 3 2 3 5 5" xfId="19220" xr:uid="{61DF9779-51C9-41C7-9779-7C582316DC17}"/>
    <cellStyle name="Normal 9 3 2 3 6" xfId="2677" xr:uid="{00000000-0005-0000-0000-0000E41F0000}"/>
    <cellStyle name="Normal 9 3 2 3 6 2" xfId="6960" xr:uid="{00000000-0005-0000-0000-0000E51F0000}"/>
    <cellStyle name="Normal 9 3 2 3 6 2 2" xfId="15410" xr:uid="{3F9F54A0-0369-48EE-A85A-FB68472B4F35}"/>
    <cellStyle name="Normal 9 3 2 3 6 2 3" xfId="23850" xr:uid="{D9CD1707-69E4-4EF9-83DF-04F7DEB8144A}"/>
    <cellStyle name="Normal 9 3 2 3 6 3" xfId="11192" xr:uid="{80DB2E04-FBD0-43B5-820A-A2CE0F587927}"/>
    <cellStyle name="Normal 9 3 2 3 6 4" xfId="19633" xr:uid="{FEF1F8C5-CFEE-4124-A2FF-4CEB1EE74B66}"/>
    <cellStyle name="Normal 9 3 2 3 7" xfId="4895" xr:uid="{00000000-0005-0000-0000-0000E61F0000}"/>
    <cellStyle name="Normal 9 3 2 3 7 2" xfId="13345" xr:uid="{DD27E9DB-5E40-4B65-8C9E-C041EF7069AF}"/>
    <cellStyle name="Normal 9 3 2 3 7 3" xfId="21785" xr:uid="{13DDDC2F-248F-4556-B4B5-8A3BD4EEC933}"/>
    <cellStyle name="Normal 9 3 2 3 8" xfId="9127" xr:uid="{8808237A-9B19-424D-AEF8-4096A826ECF8}"/>
    <cellStyle name="Normal 9 3 2 3 9" xfId="17568" xr:uid="{3DF97758-B280-44AA-ADB3-3AD9B8F0DA4E}"/>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3F460746-464B-4444-B878-7419B27B9B04}"/>
    <cellStyle name="Normal 9 3 2 4 2 2 3" xfId="24340" xr:uid="{834C8565-8573-4EF8-BDAA-0311072A82A3}"/>
    <cellStyle name="Normal 9 3 2 4 2 3" xfId="11682" xr:uid="{F12CFEA1-3CBE-4FA6-ACF7-95666574651B}"/>
    <cellStyle name="Normal 9 3 2 4 2 4" xfId="20123" xr:uid="{22B61A38-82AB-4F4B-84D5-412352154A29}"/>
    <cellStyle name="Normal 9 3 2 4 3" xfId="5305" xr:uid="{00000000-0005-0000-0000-0000EA1F0000}"/>
    <cellStyle name="Normal 9 3 2 4 3 2" xfId="13755" xr:uid="{02418A95-5836-4E9A-A739-9628A0BA952A}"/>
    <cellStyle name="Normal 9 3 2 4 3 3" xfId="22195" xr:uid="{CDDCCA42-66DB-4F20-91F0-6390497A4F04}"/>
    <cellStyle name="Normal 9 3 2 4 4" xfId="9537" xr:uid="{3F2CE18B-CC1C-41DB-BA94-20B3FB04A405}"/>
    <cellStyle name="Normal 9 3 2 4 5" xfId="17978" xr:uid="{06C7B163-9425-48D3-9252-4DAECB56C39B}"/>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3736E825-B37E-4AA5-8349-1F04C96FA6E5}"/>
    <cellStyle name="Normal 9 3 2 5 2 2 3" xfId="24753" xr:uid="{DE4468A2-2C8C-4AF3-B4BC-F00A04218A1B}"/>
    <cellStyle name="Normal 9 3 2 5 2 3" xfId="12095" xr:uid="{5178E4C2-736A-4A9A-A5AF-8439DE563672}"/>
    <cellStyle name="Normal 9 3 2 5 2 4" xfId="20536" xr:uid="{64A53133-7E1E-4913-84F7-7D7A27B95DFF}"/>
    <cellStyle name="Normal 9 3 2 5 3" xfId="5718" xr:uid="{00000000-0005-0000-0000-0000EE1F0000}"/>
    <cellStyle name="Normal 9 3 2 5 3 2" xfId="14168" xr:uid="{95D226AE-6C83-44E8-8758-B485EAD524EA}"/>
    <cellStyle name="Normal 9 3 2 5 3 3" xfId="22608" xr:uid="{A7D194AB-D8AC-469A-AE73-9D46408636E0}"/>
    <cellStyle name="Normal 9 3 2 5 4" xfId="9950" xr:uid="{3688B640-3AB3-474D-B078-A1C4464D8E1A}"/>
    <cellStyle name="Normal 9 3 2 5 5" xfId="18391" xr:uid="{5AB48802-AF18-407D-8485-CB2E79F25712}"/>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F83D0956-6595-4E81-AB71-F35821F3C51E}"/>
    <cellStyle name="Normal 9 3 2 6 2 2 3" xfId="25166" xr:uid="{9939FD79-7A8E-445F-A6C9-059392902BD7}"/>
    <cellStyle name="Normal 9 3 2 6 2 3" xfId="12508" xr:uid="{7F906AD8-87C7-4476-B18C-3328B8221941}"/>
    <cellStyle name="Normal 9 3 2 6 2 4" xfId="20949" xr:uid="{318C7006-08ED-426A-9F97-DA5F2482289C}"/>
    <cellStyle name="Normal 9 3 2 6 3" xfId="6131" xr:uid="{00000000-0005-0000-0000-0000F21F0000}"/>
    <cellStyle name="Normal 9 3 2 6 3 2" xfId="14581" xr:uid="{A0C0658D-8730-40BD-AD1D-D809C8BAFE27}"/>
    <cellStyle name="Normal 9 3 2 6 3 3" xfId="23021" xr:uid="{5A3F501D-554B-4350-B47B-4EF204757567}"/>
    <cellStyle name="Normal 9 3 2 6 4" xfId="10363" xr:uid="{A75AA5B2-A235-4CAF-A3F3-62A5ABED0453}"/>
    <cellStyle name="Normal 9 3 2 6 5" xfId="18804" xr:uid="{606F6A1D-C1E3-41E8-9919-1B89D7DB1408}"/>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907CA274-757C-4EB2-B2EE-0F3D2AEB02C4}"/>
    <cellStyle name="Normal 9 3 2 7 2 2 3" xfId="25579" xr:uid="{5F12C845-65E4-43F1-92CD-5B06E2B60387}"/>
    <cellStyle name="Normal 9 3 2 7 2 3" xfId="12921" xr:uid="{2F6961AC-B70E-4657-9B90-D1D2FA1BB06F}"/>
    <cellStyle name="Normal 9 3 2 7 2 4" xfId="21362" xr:uid="{43C758CF-3C5F-45C7-ACFC-448EAB3D0123}"/>
    <cellStyle name="Normal 9 3 2 7 3" xfId="6544" xr:uid="{00000000-0005-0000-0000-0000F61F0000}"/>
    <cellStyle name="Normal 9 3 2 7 3 2" xfId="14994" xr:uid="{577DF7DE-C2A2-4325-AB56-5C6633832F53}"/>
    <cellStyle name="Normal 9 3 2 7 3 3" xfId="23434" xr:uid="{1B96CAB8-8D11-446C-9DB7-99050540F534}"/>
    <cellStyle name="Normal 9 3 2 7 4" xfId="10776" xr:uid="{42509391-DA39-4D1C-A1AF-8F5D6DAC6726}"/>
    <cellStyle name="Normal 9 3 2 7 5" xfId="19217" xr:uid="{9FF9434D-0E32-43DE-9432-2CF0D832D7E5}"/>
    <cellStyle name="Normal 9 3 2 8" xfId="2674" xr:uid="{00000000-0005-0000-0000-0000F71F0000}"/>
    <cellStyle name="Normal 9 3 2 8 2" xfId="6957" xr:uid="{00000000-0005-0000-0000-0000F81F0000}"/>
    <cellStyle name="Normal 9 3 2 8 2 2" xfId="15407" xr:uid="{35875908-F423-43DD-9787-91DC9A7D809A}"/>
    <cellStyle name="Normal 9 3 2 8 2 3" xfId="23847" xr:uid="{EA5E2EC4-68CF-4D8F-A46C-A30A67E950CC}"/>
    <cellStyle name="Normal 9 3 2 8 3" xfId="11189" xr:uid="{D1547E4E-228B-4A51-9379-0AC313867054}"/>
    <cellStyle name="Normal 9 3 2 8 4" xfId="19630" xr:uid="{C27A9560-727C-481A-BCE0-8C2370F00B27}"/>
    <cellStyle name="Normal 9 3 2 9" xfId="4892" xr:uid="{00000000-0005-0000-0000-0000F91F0000}"/>
    <cellStyle name="Normal 9 3 2 9 2" xfId="13342" xr:uid="{8EFE00D1-5711-4A05-8506-6C0FBAA51F3C}"/>
    <cellStyle name="Normal 9 3 2 9 3" xfId="21782" xr:uid="{0A11C10F-BCCD-4E6A-AB93-C7DE1E07BB67}"/>
    <cellStyle name="Normal 9 3 3" xfId="532" xr:uid="{00000000-0005-0000-0000-0000FA1F0000}"/>
    <cellStyle name="Normal 9 3 3 10" xfId="17569" xr:uid="{4DD40130-B8DE-4E00-BB17-62C966F2AF8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F8B339B6-8482-4837-A93A-9D60BD7CD076}"/>
    <cellStyle name="Normal 9 3 3 2 2 2 2 3" xfId="24345" xr:uid="{95F2FB89-4805-4638-9519-52525DABE072}"/>
    <cellStyle name="Normal 9 3 3 2 2 2 3" xfId="11687" xr:uid="{A8560AEC-8AAA-4115-86BC-6D8CC2EF36CB}"/>
    <cellStyle name="Normal 9 3 3 2 2 2 4" xfId="20128" xr:uid="{13E208DF-71E7-4111-BE8D-2C19B5D518AC}"/>
    <cellStyle name="Normal 9 3 3 2 2 3" xfId="5310" xr:uid="{00000000-0005-0000-0000-0000FF1F0000}"/>
    <cellStyle name="Normal 9 3 3 2 2 3 2" xfId="13760" xr:uid="{ACCC854E-7522-4A29-AD7F-E7F4FE61414E}"/>
    <cellStyle name="Normal 9 3 3 2 2 3 3" xfId="22200" xr:uid="{1A521573-4711-4D4E-84DC-2CC9C605CB87}"/>
    <cellStyle name="Normal 9 3 3 2 2 4" xfId="9542" xr:uid="{0F1AE292-49AB-49AD-A6E0-732F4D438041}"/>
    <cellStyle name="Normal 9 3 3 2 2 5" xfId="17983" xr:uid="{B062503F-8810-4878-8203-3245BCE90CFE}"/>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E838A704-A4D8-423F-AB06-F6315EBD4A9D}"/>
    <cellStyle name="Normal 9 3 3 2 3 2 2 3" xfId="24758" xr:uid="{A91687CB-57ED-4544-A874-CD685EBB22D0}"/>
    <cellStyle name="Normal 9 3 3 2 3 2 3" xfId="12100" xr:uid="{45702C85-0921-4860-85E4-F61F3749FDC2}"/>
    <cellStyle name="Normal 9 3 3 2 3 2 4" xfId="20541" xr:uid="{729EA5A9-1E52-4AE6-A9D8-19AF009C01D7}"/>
    <cellStyle name="Normal 9 3 3 2 3 3" xfId="5723" xr:uid="{00000000-0005-0000-0000-000003200000}"/>
    <cellStyle name="Normal 9 3 3 2 3 3 2" xfId="14173" xr:uid="{A1547258-5C42-4B0A-8F01-A62C45CF7278}"/>
    <cellStyle name="Normal 9 3 3 2 3 3 3" xfId="22613" xr:uid="{A4354297-B297-4282-828B-261A68D15847}"/>
    <cellStyle name="Normal 9 3 3 2 3 4" xfId="9955" xr:uid="{728F6F53-E12C-4E39-B5A4-4640D8189FA0}"/>
    <cellStyle name="Normal 9 3 3 2 3 5" xfId="18396" xr:uid="{7ED7232A-80FF-4462-B338-EC46D2191355}"/>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40BD492D-1563-4958-997F-6E76DD5D9ED4}"/>
    <cellStyle name="Normal 9 3 3 2 4 2 2 3" xfId="25171" xr:uid="{521E6A99-2A6D-41C3-AA56-68E6214B940A}"/>
    <cellStyle name="Normal 9 3 3 2 4 2 3" xfId="12513" xr:uid="{407ED0CF-B001-4F6D-BEC0-30A2441653A7}"/>
    <cellStyle name="Normal 9 3 3 2 4 2 4" xfId="20954" xr:uid="{E273439E-23AC-4DF4-8E10-2B2B5C2EAD28}"/>
    <cellStyle name="Normal 9 3 3 2 4 3" xfId="6136" xr:uid="{00000000-0005-0000-0000-000007200000}"/>
    <cellStyle name="Normal 9 3 3 2 4 3 2" xfId="14586" xr:uid="{51F7C9BD-5CD8-4C9D-A394-476E331113CF}"/>
    <cellStyle name="Normal 9 3 3 2 4 3 3" xfId="23026" xr:uid="{4AFB9F52-C8BF-485E-BDA0-B49D3E0618B9}"/>
    <cellStyle name="Normal 9 3 3 2 4 4" xfId="10368" xr:uid="{09E35680-23CE-4F4A-8234-169A1DF738BF}"/>
    <cellStyle name="Normal 9 3 3 2 4 5" xfId="18809" xr:uid="{CA33CC8B-D968-400E-8DD4-643A0688DB6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37567C49-3D56-49B1-AFE3-C886FD4687A0}"/>
    <cellStyle name="Normal 9 3 3 2 5 2 2 3" xfId="25584" xr:uid="{B5562705-0B26-40B9-A694-545E135F05E1}"/>
    <cellStyle name="Normal 9 3 3 2 5 2 3" xfId="12926" xr:uid="{EDA8B653-5E0E-44E5-9761-3DE4CD49E2D8}"/>
    <cellStyle name="Normal 9 3 3 2 5 2 4" xfId="21367" xr:uid="{19F49023-7905-4A79-B2F7-5C90C7F22BAD}"/>
    <cellStyle name="Normal 9 3 3 2 5 3" xfId="6549" xr:uid="{00000000-0005-0000-0000-00000B200000}"/>
    <cellStyle name="Normal 9 3 3 2 5 3 2" xfId="14999" xr:uid="{5EFEE1C9-CB14-4D9C-B39A-9DA0AB2F4DF4}"/>
    <cellStyle name="Normal 9 3 3 2 5 3 3" xfId="23439" xr:uid="{B839E1D1-265C-4C74-AA32-2859F67D9552}"/>
    <cellStyle name="Normal 9 3 3 2 5 4" xfId="10781" xr:uid="{BD07E558-65F8-4228-834C-C30E7F36F133}"/>
    <cellStyle name="Normal 9 3 3 2 5 5" xfId="19222" xr:uid="{D8D57527-56DC-4186-B515-354B4AA0D74A}"/>
    <cellStyle name="Normal 9 3 3 2 6" xfId="2679" xr:uid="{00000000-0005-0000-0000-00000C200000}"/>
    <cellStyle name="Normal 9 3 3 2 6 2" xfId="6962" xr:uid="{00000000-0005-0000-0000-00000D200000}"/>
    <cellStyle name="Normal 9 3 3 2 6 2 2" xfId="15412" xr:uid="{74B63A43-3C50-4339-A07B-D001921BA157}"/>
    <cellStyle name="Normal 9 3 3 2 6 2 3" xfId="23852" xr:uid="{B4B80E57-4A32-4045-A8DF-FB072E9586AF}"/>
    <cellStyle name="Normal 9 3 3 2 6 3" xfId="11194" xr:uid="{6FB0A94D-1402-4E0E-8F19-D9B95B13FBB6}"/>
    <cellStyle name="Normal 9 3 3 2 6 4" xfId="19635" xr:uid="{B64838D2-7D4B-46A6-AFF2-E0DDC2A85B34}"/>
    <cellStyle name="Normal 9 3 3 2 7" xfId="4897" xr:uid="{00000000-0005-0000-0000-00000E200000}"/>
    <cellStyle name="Normal 9 3 3 2 7 2" xfId="13347" xr:uid="{3F9B933D-97CC-4D3A-8197-43F650E9264E}"/>
    <cellStyle name="Normal 9 3 3 2 7 3" xfId="21787" xr:uid="{48407ED5-8AB3-48CC-A814-E4BE47FE0B9C}"/>
    <cellStyle name="Normal 9 3 3 2 8" xfId="9129" xr:uid="{1116D8F8-DCC6-45AB-A314-28628EC4C6C7}"/>
    <cellStyle name="Normal 9 3 3 2 9" xfId="17570" xr:uid="{67988361-26F2-419F-8BD7-D0E1BF1B932F}"/>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06DD3D45-956E-4F5A-B067-6E8A50AB9CDA}"/>
    <cellStyle name="Normal 9 3 3 3 2 2 3" xfId="24344" xr:uid="{EC8F959E-E498-47DF-BF1C-F697E02828A5}"/>
    <cellStyle name="Normal 9 3 3 3 2 3" xfId="11686" xr:uid="{2E5D5F9C-48A6-4BDE-ADB0-9F24605FDD39}"/>
    <cellStyle name="Normal 9 3 3 3 2 4" xfId="20127" xr:uid="{1A42E370-361F-442A-B052-4C9BCF7840EB}"/>
    <cellStyle name="Normal 9 3 3 3 3" xfId="5309" xr:uid="{00000000-0005-0000-0000-000012200000}"/>
    <cellStyle name="Normal 9 3 3 3 3 2" xfId="13759" xr:uid="{27D0B1CF-2458-49BA-9E61-2C649D2B085E}"/>
    <cellStyle name="Normal 9 3 3 3 3 3" xfId="22199" xr:uid="{C7425212-79CA-4D18-B1E7-2E2B0D53563A}"/>
    <cellStyle name="Normal 9 3 3 3 4" xfId="9541" xr:uid="{3933DC46-46A4-45C1-8BF5-72E92382FA34}"/>
    <cellStyle name="Normal 9 3 3 3 5" xfId="17982" xr:uid="{DEE2DBCB-EA75-496A-A0F6-F631DB92E4A7}"/>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CECC7B55-0D59-4E24-8D3E-6EF36A423DB8}"/>
    <cellStyle name="Normal 9 3 3 4 2 2 3" xfId="24757" xr:uid="{2B5B4D3C-C961-4D51-9D8E-9702413FBC97}"/>
    <cellStyle name="Normal 9 3 3 4 2 3" xfId="12099" xr:uid="{125C9339-B6C1-4C1C-9291-7FD34A7AA36F}"/>
    <cellStyle name="Normal 9 3 3 4 2 4" xfId="20540" xr:uid="{B374E9B1-A0DD-406A-9A46-538484EC30FB}"/>
    <cellStyle name="Normal 9 3 3 4 3" xfId="5722" xr:uid="{00000000-0005-0000-0000-000016200000}"/>
    <cellStyle name="Normal 9 3 3 4 3 2" xfId="14172" xr:uid="{B4639AF0-D6E6-45DC-8AFB-130C470036EE}"/>
    <cellStyle name="Normal 9 3 3 4 3 3" xfId="22612" xr:uid="{C440B353-44F3-4244-9640-0AF38ACC8535}"/>
    <cellStyle name="Normal 9 3 3 4 4" xfId="9954" xr:uid="{2CB5708E-99FF-4131-9704-0A93086F2073}"/>
    <cellStyle name="Normal 9 3 3 4 5" xfId="18395" xr:uid="{7C353DDE-BE2A-47E7-A42B-DE45337FFCB6}"/>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4812E3C8-D2BA-4C34-A394-8CE032BE71FC}"/>
    <cellStyle name="Normal 9 3 3 5 2 2 3" xfId="25170" xr:uid="{E8AAA97E-19A0-4E0E-959D-890DC3589C63}"/>
    <cellStyle name="Normal 9 3 3 5 2 3" xfId="12512" xr:uid="{C89650C0-6F3A-4650-9FE3-66D9B14D9020}"/>
    <cellStyle name="Normal 9 3 3 5 2 4" xfId="20953" xr:uid="{6B57C54F-83BA-4285-B35C-5AD3C94F9AC1}"/>
    <cellStyle name="Normal 9 3 3 5 3" xfId="6135" xr:uid="{00000000-0005-0000-0000-00001A200000}"/>
    <cellStyle name="Normal 9 3 3 5 3 2" xfId="14585" xr:uid="{78A93EC4-DC5D-447F-90E2-D6E50F565374}"/>
    <cellStyle name="Normal 9 3 3 5 3 3" xfId="23025" xr:uid="{FB2E2BC6-582E-4344-AB87-2184F7080B93}"/>
    <cellStyle name="Normal 9 3 3 5 4" xfId="10367" xr:uid="{49C856C4-1696-4515-B4DD-D87DB47F9A5D}"/>
    <cellStyle name="Normal 9 3 3 5 5" xfId="18808" xr:uid="{00846BB2-8399-4A6A-B41E-F4341BBE1F20}"/>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6B4E63AE-EBBF-41D0-B8CC-1ECEB4D5C752}"/>
    <cellStyle name="Normal 9 3 3 6 2 2 3" xfId="25583" xr:uid="{18E2F7E7-327D-4186-B3A6-5EBD58BBAC6D}"/>
    <cellStyle name="Normal 9 3 3 6 2 3" xfId="12925" xr:uid="{57705923-CDB0-4E6E-AE03-78799904A6EA}"/>
    <cellStyle name="Normal 9 3 3 6 2 4" xfId="21366" xr:uid="{7622EE85-549E-4D5A-997E-7D33500FFC9A}"/>
    <cellStyle name="Normal 9 3 3 6 3" xfId="6548" xr:uid="{00000000-0005-0000-0000-00001E200000}"/>
    <cellStyle name="Normal 9 3 3 6 3 2" xfId="14998" xr:uid="{0823B37F-5C62-4758-B0E1-E4F06B4CEEE9}"/>
    <cellStyle name="Normal 9 3 3 6 3 3" xfId="23438" xr:uid="{8D286107-D721-4536-BE6B-09D090BA242A}"/>
    <cellStyle name="Normal 9 3 3 6 4" xfId="10780" xr:uid="{914FD743-CF49-44BC-B959-3F340397418A}"/>
    <cellStyle name="Normal 9 3 3 6 5" xfId="19221" xr:uid="{0CB3A67A-FDAB-4118-9A4D-139C098281A5}"/>
    <cellStyle name="Normal 9 3 3 7" xfId="2678" xr:uid="{00000000-0005-0000-0000-00001F200000}"/>
    <cellStyle name="Normal 9 3 3 7 2" xfId="6961" xr:uid="{00000000-0005-0000-0000-000020200000}"/>
    <cellStyle name="Normal 9 3 3 7 2 2" xfId="15411" xr:uid="{8E42D392-191E-45F0-A431-745A1F7CE849}"/>
    <cellStyle name="Normal 9 3 3 7 2 3" xfId="23851" xr:uid="{F4593E0C-06BB-4E84-90C2-508E1477223F}"/>
    <cellStyle name="Normal 9 3 3 7 3" xfId="11193" xr:uid="{AAFC1C1F-9EFC-4414-8499-422CEFB86D58}"/>
    <cellStyle name="Normal 9 3 3 7 4" xfId="19634" xr:uid="{FC00E723-21AF-4C77-BECA-9FD74AA26A4F}"/>
    <cellStyle name="Normal 9 3 3 8" xfId="4896" xr:uid="{00000000-0005-0000-0000-000021200000}"/>
    <cellStyle name="Normal 9 3 3 8 2" xfId="13346" xr:uid="{799467FB-673F-4FBD-BDF3-4FF6040A51BF}"/>
    <cellStyle name="Normal 9 3 3 8 3" xfId="21786" xr:uid="{E7EB019D-353A-4B09-A5D1-976E31311D5B}"/>
    <cellStyle name="Normal 9 3 3 9" xfId="9128" xr:uid="{35586CA8-D00B-471C-8D30-623B61B6D3BF}"/>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BF48CE36-51F2-4039-8B23-F975AC0A7935}"/>
    <cellStyle name="Normal 9 3 4 2 2 2 3" xfId="24346" xr:uid="{B2BD8D0A-F036-4A02-BB15-4E7540E68DE0}"/>
    <cellStyle name="Normal 9 3 4 2 2 3" xfId="11688" xr:uid="{279026FF-C854-4729-A083-26D4F4176828}"/>
    <cellStyle name="Normal 9 3 4 2 2 4" xfId="20129" xr:uid="{1EB8FBA6-6199-460F-A572-A5C5196242AF}"/>
    <cellStyle name="Normal 9 3 4 2 3" xfId="5311" xr:uid="{00000000-0005-0000-0000-000026200000}"/>
    <cellStyle name="Normal 9 3 4 2 3 2" xfId="13761" xr:uid="{3B260FB8-B163-430D-9663-2B1F52A8F920}"/>
    <cellStyle name="Normal 9 3 4 2 3 3" xfId="22201" xr:uid="{796E7891-FF02-45B7-B1C1-4A950F26F9F4}"/>
    <cellStyle name="Normal 9 3 4 2 4" xfId="9543" xr:uid="{E2E6C557-60B4-4300-AD36-DB732AFF9BB0}"/>
    <cellStyle name="Normal 9 3 4 2 5" xfId="17984" xr:uid="{FCB6FED4-FFDB-4F6B-B3EF-B0E0722926B5}"/>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5C15A955-360D-46C0-87E6-4AB41125BA23}"/>
    <cellStyle name="Normal 9 3 4 3 2 2 3" xfId="24759" xr:uid="{B2087E07-50B4-4513-BD29-F29A58D8721C}"/>
    <cellStyle name="Normal 9 3 4 3 2 3" xfId="12101" xr:uid="{B63F6455-5D7A-411E-A652-C0935C8879A7}"/>
    <cellStyle name="Normal 9 3 4 3 2 4" xfId="20542" xr:uid="{954C38CF-EAAB-46F6-BA56-62DABD4840B5}"/>
    <cellStyle name="Normal 9 3 4 3 3" xfId="5724" xr:uid="{00000000-0005-0000-0000-00002A200000}"/>
    <cellStyle name="Normal 9 3 4 3 3 2" xfId="14174" xr:uid="{57532150-B9F6-4821-A53C-8D6B2FE070FF}"/>
    <cellStyle name="Normal 9 3 4 3 3 3" xfId="22614" xr:uid="{41938E50-CD59-44BE-9E12-E167BF22CCA4}"/>
    <cellStyle name="Normal 9 3 4 3 4" xfId="9956" xr:uid="{DAC692F3-F21A-4913-BEE6-EA3B2175BEB1}"/>
    <cellStyle name="Normal 9 3 4 3 5" xfId="18397" xr:uid="{0982D3BA-9F4C-485E-9A62-440EB8A98F62}"/>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DA175247-5C9E-4995-A71D-7F8F446BAD61}"/>
    <cellStyle name="Normal 9 3 4 4 2 2 3" xfId="25172" xr:uid="{C5E1C02B-0A6A-4553-9E75-A3AC815663DD}"/>
    <cellStyle name="Normal 9 3 4 4 2 3" xfId="12514" xr:uid="{124DA609-E577-46D8-9E56-E5DD0404F3A8}"/>
    <cellStyle name="Normal 9 3 4 4 2 4" xfId="20955" xr:uid="{FFC10981-B967-45CB-AAB2-223B3C944062}"/>
    <cellStyle name="Normal 9 3 4 4 3" xfId="6137" xr:uid="{00000000-0005-0000-0000-00002E200000}"/>
    <cellStyle name="Normal 9 3 4 4 3 2" xfId="14587" xr:uid="{8BD130D6-038B-43CC-8668-DDB926894C13}"/>
    <cellStyle name="Normal 9 3 4 4 3 3" xfId="23027" xr:uid="{E7E5D670-D545-4364-AEA9-3F4D6B87485E}"/>
    <cellStyle name="Normal 9 3 4 4 4" xfId="10369" xr:uid="{29F469BD-DDB8-4C0B-9C23-5BBEEDBD234F}"/>
    <cellStyle name="Normal 9 3 4 4 5" xfId="18810" xr:uid="{410675E0-EE10-4F8D-8AAF-DDED384D894C}"/>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328DD3CD-F89F-4599-9047-A46FD3AF782D}"/>
    <cellStyle name="Normal 9 3 4 5 2 2 3" xfId="25585" xr:uid="{9606512E-B79C-49EC-8D14-405BB0FAB10E}"/>
    <cellStyle name="Normal 9 3 4 5 2 3" xfId="12927" xr:uid="{96EBE7F8-90FF-42E5-97BF-AD83081DE36B}"/>
    <cellStyle name="Normal 9 3 4 5 2 4" xfId="21368" xr:uid="{95C9E181-934E-4A96-B804-C0DD6DC012B1}"/>
    <cellStyle name="Normal 9 3 4 5 3" xfId="6550" xr:uid="{00000000-0005-0000-0000-000032200000}"/>
    <cellStyle name="Normal 9 3 4 5 3 2" xfId="15000" xr:uid="{ECA87F32-C732-4678-93AD-25792E8C1299}"/>
    <cellStyle name="Normal 9 3 4 5 3 3" xfId="23440" xr:uid="{E379457D-AD8D-45AF-9592-9568632D2B6C}"/>
    <cellStyle name="Normal 9 3 4 5 4" xfId="10782" xr:uid="{7D21AD7C-1A3F-4C40-85A9-5D4E6D0D77E2}"/>
    <cellStyle name="Normal 9 3 4 5 5" xfId="19223" xr:uid="{2C2E6561-F173-4223-BCBF-BF87012E7B15}"/>
    <cellStyle name="Normal 9 3 4 6" xfId="2680" xr:uid="{00000000-0005-0000-0000-000033200000}"/>
    <cellStyle name="Normal 9 3 4 6 2" xfId="6963" xr:uid="{00000000-0005-0000-0000-000034200000}"/>
    <cellStyle name="Normal 9 3 4 6 2 2" xfId="15413" xr:uid="{DE58324C-A9F0-403E-AC51-6CEBAFC3AD10}"/>
    <cellStyle name="Normal 9 3 4 6 2 3" xfId="23853" xr:uid="{52B798C1-C852-4D56-BC51-3BF7722CDD69}"/>
    <cellStyle name="Normal 9 3 4 6 3" xfId="11195" xr:uid="{668BF114-F8F1-4727-8BDD-AE757B6F82C6}"/>
    <cellStyle name="Normal 9 3 4 6 4" xfId="19636" xr:uid="{7075DA7D-401A-44E5-8BAA-DDD728F70F6D}"/>
    <cellStyle name="Normal 9 3 4 7" xfId="4898" xr:uid="{00000000-0005-0000-0000-000035200000}"/>
    <cellStyle name="Normal 9 3 4 7 2" xfId="13348" xr:uid="{E2FBA6E5-55F8-4538-8C5F-C6BCC969A8A9}"/>
    <cellStyle name="Normal 9 3 4 7 3" xfId="21788" xr:uid="{87E11DE5-DB04-4E07-A7B2-DCE95F00FC5F}"/>
    <cellStyle name="Normal 9 3 4 8" xfId="9130" xr:uid="{6BC0DDBF-ADD9-43AB-8E49-3FE688574181}"/>
    <cellStyle name="Normal 9 3 4 9" xfId="17571" xr:uid="{AFDDC549-2268-44DC-BB5B-C2242D581173}"/>
    <cellStyle name="Normal 9 3 5" xfId="994" xr:uid="{00000000-0005-0000-0000-000036200000}"/>
    <cellStyle name="Normal 9 3 5 2" xfId="3227" xr:uid="{00000000-0005-0000-0000-000037200000}"/>
    <cellStyle name="Normal 9 3 5 2 2" xfId="7449" xr:uid="{00000000-0005-0000-0000-000038200000}"/>
    <cellStyle name="Normal 9 3 5 2 2 2" xfId="15899" xr:uid="{5FE59796-2AF6-417C-AFCD-00DE2F0B1851}"/>
    <cellStyle name="Normal 9 3 5 2 2 3" xfId="24339" xr:uid="{8BC48CD8-C486-40CF-8009-B853048BEA4B}"/>
    <cellStyle name="Normal 9 3 5 2 3" xfId="11681" xr:uid="{9DBEE936-E213-4EE7-8E72-D86D515CBE61}"/>
    <cellStyle name="Normal 9 3 5 2 4" xfId="20122" xr:uid="{DDCDF5A0-7756-4EB6-BA5B-29FF91444247}"/>
    <cellStyle name="Normal 9 3 5 3" xfId="5304" xr:uid="{00000000-0005-0000-0000-000039200000}"/>
    <cellStyle name="Normal 9 3 5 3 2" xfId="13754" xr:uid="{CE64F104-1085-4EB5-B733-8820EE5123AA}"/>
    <cellStyle name="Normal 9 3 5 3 3" xfId="22194" xr:uid="{37484B5D-BCC9-412D-B8CC-F2D7A7DC9735}"/>
    <cellStyle name="Normal 9 3 5 4" xfId="9536" xr:uid="{24D10312-508E-47EC-B68D-7C29B3692E8B}"/>
    <cellStyle name="Normal 9 3 5 5" xfId="17977" xr:uid="{6C0487B3-5E83-42A4-99CC-AFBF9850E469}"/>
    <cellStyle name="Normal 9 3 6" xfId="1410" xr:uid="{00000000-0005-0000-0000-00003A200000}"/>
    <cellStyle name="Normal 9 3 6 2" xfId="3640" xr:uid="{00000000-0005-0000-0000-00003B200000}"/>
    <cellStyle name="Normal 9 3 6 2 2" xfId="7862" xr:uid="{00000000-0005-0000-0000-00003C200000}"/>
    <cellStyle name="Normal 9 3 6 2 2 2" xfId="16312" xr:uid="{DAAD4BA7-B581-4B31-B0D7-F6E97AC82B44}"/>
    <cellStyle name="Normal 9 3 6 2 2 3" xfId="24752" xr:uid="{2DA37779-DAB2-4D15-80FD-155F000F7C79}"/>
    <cellStyle name="Normal 9 3 6 2 3" xfId="12094" xr:uid="{0E9D1133-6987-4F61-9AD1-E62824C334BF}"/>
    <cellStyle name="Normal 9 3 6 2 4" xfId="20535" xr:uid="{225E89D4-3EFB-41E2-9868-967520570899}"/>
    <cellStyle name="Normal 9 3 6 3" xfId="5717" xr:uid="{00000000-0005-0000-0000-00003D200000}"/>
    <cellStyle name="Normal 9 3 6 3 2" xfId="14167" xr:uid="{111DA2C6-A3E8-41A4-B6CE-E89430A41089}"/>
    <cellStyle name="Normal 9 3 6 3 3" xfId="22607" xr:uid="{A16133CF-4337-4DE5-86E0-1BCEB3648D15}"/>
    <cellStyle name="Normal 9 3 6 4" xfId="9949" xr:uid="{737FB3E6-195B-400C-994C-8468F17050F1}"/>
    <cellStyle name="Normal 9 3 6 5" xfId="18390" xr:uid="{C2BDBDEC-63BE-4A2B-8D26-1DA179B92F3A}"/>
    <cellStyle name="Normal 9 3 7" xfId="1823" xr:uid="{00000000-0005-0000-0000-00003E200000}"/>
    <cellStyle name="Normal 9 3 7 2" xfId="4053" xr:uid="{00000000-0005-0000-0000-00003F200000}"/>
    <cellStyle name="Normal 9 3 7 2 2" xfId="8275" xr:uid="{00000000-0005-0000-0000-000040200000}"/>
    <cellStyle name="Normal 9 3 7 2 2 2" xfId="16725" xr:uid="{E3729916-4207-4B63-B9DD-616318574F19}"/>
    <cellStyle name="Normal 9 3 7 2 2 3" xfId="25165" xr:uid="{A5CAF3CE-DD27-436E-850B-41C8EBBD6607}"/>
    <cellStyle name="Normal 9 3 7 2 3" xfId="12507" xr:uid="{5C4B4900-6ED0-4F84-BBD3-933736A3DAFF}"/>
    <cellStyle name="Normal 9 3 7 2 4" xfId="20948" xr:uid="{1523A9EE-5310-4587-B835-843950B70A80}"/>
    <cellStyle name="Normal 9 3 7 3" xfId="6130" xr:uid="{00000000-0005-0000-0000-000041200000}"/>
    <cellStyle name="Normal 9 3 7 3 2" xfId="14580" xr:uid="{8B4D2283-D2DA-48D0-9B0B-B240DDCAEC0A}"/>
    <cellStyle name="Normal 9 3 7 3 3" xfId="23020" xr:uid="{61DD7446-8ABE-4D75-BA6F-A0F591D54841}"/>
    <cellStyle name="Normal 9 3 7 4" xfId="10362" xr:uid="{40F32F5E-5856-405D-99F2-167C2BAF3376}"/>
    <cellStyle name="Normal 9 3 7 5" xfId="18803" xr:uid="{7D551266-7BF5-4EFD-AE18-17522A6F9B76}"/>
    <cellStyle name="Normal 9 3 8" xfId="2237" xr:uid="{00000000-0005-0000-0000-000042200000}"/>
    <cellStyle name="Normal 9 3 8 2" xfId="4466" xr:uid="{00000000-0005-0000-0000-000043200000}"/>
    <cellStyle name="Normal 9 3 8 2 2" xfId="8688" xr:uid="{00000000-0005-0000-0000-000044200000}"/>
    <cellStyle name="Normal 9 3 8 2 2 2" xfId="17138" xr:uid="{6E8A2A03-EF41-40AE-9EE1-370709D69807}"/>
    <cellStyle name="Normal 9 3 8 2 2 3" xfId="25578" xr:uid="{6D6A9281-264A-4FA9-B24E-BDD8FB3C2D74}"/>
    <cellStyle name="Normal 9 3 8 2 3" xfId="12920" xr:uid="{3A51DCF3-5E4D-404E-9532-F6E5325C6E35}"/>
    <cellStyle name="Normal 9 3 8 2 4" xfId="21361" xr:uid="{D4D7DC22-AB1B-4793-AFD5-B5EAEF3C7983}"/>
    <cellStyle name="Normal 9 3 8 3" xfId="6543" xr:uid="{00000000-0005-0000-0000-000045200000}"/>
    <cellStyle name="Normal 9 3 8 3 2" xfId="14993" xr:uid="{ADA9E36C-306C-4BF5-A7FA-240DF6C16F5A}"/>
    <cellStyle name="Normal 9 3 8 3 3" xfId="23433" xr:uid="{4597DE0C-91A8-446D-AF61-1C9852A9C0BE}"/>
    <cellStyle name="Normal 9 3 8 4" xfId="10775" xr:uid="{AD0F68D2-A1EE-4816-B67F-80D3AAA86F91}"/>
    <cellStyle name="Normal 9 3 8 5" xfId="19216" xr:uid="{7CE34A9B-EEDA-4DE5-87DF-B7ABAFE8F611}"/>
    <cellStyle name="Normal 9 3 9" xfId="2673" xr:uid="{00000000-0005-0000-0000-000046200000}"/>
    <cellStyle name="Normal 9 3 9 2" xfId="6956" xr:uid="{00000000-0005-0000-0000-000047200000}"/>
    <cellStyle name="Normal 9 3 9 2 2" xfId="15406" xr:uid="{92D57385-D3DC-4315-BCE5-C1E8DC051798}"/>
    <cellStyle name="Normal 9 3 9 2 3" xfId="23846" xr:uid="{332874F6-6A0B-4EE2-8F95-EF35F24B2354}"/>
    <cellStyle name="Normal 9 3 9 3" xfId="11188" xr:uid="{050B5E6B-A245-46B0-A907-FB3CDFAF9A9C}"/>
    <cellStyle name="Normal 9 3 9 4" xfId="19629" xr:uid="{DE4DD37D-830F-4403-9367-4BADE367975D}"/>
    <cellStyle name="Normal 9 4" xfId="535" xr:uid="{00000000-0005-0000-0000-000048200000}"/>
    <cellStyle name="Normal 9 4 2" xfId="1002" xr:uid="{00000000-0005-0000-0000-000049200000}"/>
    <cellStyle name="Normal 9 5" xfId="536" xr:uid="{00000000-0005-0000-0000-00004A200000}"/>
    <cellStyle name="Normal 9 5 10" xfId="17572" xr:uid="{C2371CA0-06CA-453A-B346-8836CDD71C84}"/>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79B37D62-CEA6-4D1F-9338-85F933B6CD28}"/>
    <cellStyle name="Normal 9 5 2 2 2 2 3" xfId="24348" xr:uid="{C361CFCA-0804-457E-A0F1-71BFD922764D}"/>
    <cellStyle name="Normal 9 5 2 2 2 3" xfId="11690" xr:uid="{9D3B112A-DB7C-4946-AC70-CBD99C166BE7}"/>
    <cellStyle name="Normal 9 5 2 2 2 4" xfId="20131" xr:uid="{A018309E-F053-4B9B-9467-7CB90D87BCE4}"/>
    <cellStyle name="Normal 9 5 2 2 3" xfId="5313" xr:uid="{00000000-0005-0000-0000-00004F200000}"/>
    <cellStyle name="Normal 9 5 2 2 3 2" xfId="13763" xr:uid="{854FDA5C-081E-452F-B90D-43C26B41AAFF}"/>
    <cellStyle name="Normal 9 5 2 2 3 3" xfId="22203" xr:uid="{E54CA2CB-D102-4B09-BE94-0C2B50FABB94}"/>
    <cellStyle name="Normal 9 5 2 2 4" xfId="9545" xr:uid="{F5DC91EC-97DE-4759-B388-A15FE7C812EC}"/>
    <cellStyle name="Normal 9 5 2 2 5" xfId="17986" xr:uid="{786B43CD-1FCE-43AE-863B-ABE0C83C6742}"/>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33B3EEB4-CA02-4FE2-A205-9E6EF81097BF}"/>
    <cellStyle name="Normal 9 5 2 3 2 2 3" xfId="24761" xr:uid="{DDC09DCD-D3FF-4030-93B9-FF50A484BE1E}"/>
    <cellStyle name="Normal 9 5 2 3 2 3" xfId="12103" xr:uid="{9C0E8D7B-1345-4F36-9728-B45037D996A7}"/>
    <cellStyle name="Normal 9 5 2 3 2 4" xfId="20544" xr:uid="{7CF88EED-98B1-4932-B0FF-7C7714DACACB}"/>
    <cellStyle name="Normal 9 5 2 3 3" xfId="5726" xr:uid="{00000000-0005-0000-0000-000053200000}"/>
    <cellStyle name="Normal 9 5 2 3 3 2" xfId="14176" xr:uid="{77297D60-79C7-42FB-9A15-77F2C04AAA92}"/>
    <cellStyle name="Normal 9 5 2 3 3 3" xfId="22616" xr:uid="{F225E3AB-A6FA-415E-B8AA-7D10B3F33BE2}"/>
    <cellStyle name="Normal 9 5 2 3 4" xfId="9958" xr:uid="{6556B42C-033C-4C91-955B-A3E10CDF8E0C}"/>
    <cellStyle name="Normal 9 5 2 3 5" xfId="18399" xr:uid="{C8AF4B78-3927-494D-8541-7547D5178D30}"/>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D56502F6-E4A1-4032-B6FA-433263AA0134}"/>
    <cellStyle name="Normal 9 5 2 4 2 2 3" xfId="25174" xr:uid="{4034E62E-D895-45F1-B9AA-C3ADF214AFF7}"/>
    <cellStyle name="Normal 9 5 2 4 2 3" xfId="12516" xr:uid="{23DF9A06-0B7F-4378-88D7-45DB82BA8EBA}"/>
    <cellStyle name="Normal 9 5 2 4 2 4" xfId="20957" xr:uid="{EDAC123B-10E4-437F-B07C-D9E185BE7D7E}"/>
    <cellStyle name="Normal 9 5 2 4 3" xfId="6139" xr:uid="{00000000-0005-0000-0000-000057200000}"/>
    <cellStyle name="Normal 9 5 2 4 3 2" xfId="14589" xr:uid="{8DE2B408-D9A3-4BD1-BB66-47C03AD21955}"/>
    <cellStyle name="Normal 9 5 2 4 3 3" xfId="23029" xr:uid="{659EF98F-A3E2-41B6-B19A-FBDDED55074D}"/>
    <cellStyle name="Normal 9 5 2 4 4" xfId="10371" xr:uid="{974C8151-7B34-4BAC-8488-654F9AC1FACB}"/>
    <cellStyle name="Normal 9 5 2 4 5" xfId="18812" xr:uid="{0DD1B62A-AE0A-4A89-BE16-1E541B5590C4}"/>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119B71F1-6235-45C0-9047-E0FD829A4444}"/>
    <cellStyle name="Normal 9 5 2 5 2 2 3" xfId="25587" xr:uid="{8B5928A2-0854-4157-B894-24C8632C27F3}"/>
    <cellStyle name="Normal 9 5 2 5 2 3" xfId="12929" xr:uid="{2F601180-3A15-4593-B17B-42D9D36D56FD}"/>
    <cellStyle name="Normal 9 5 2 5 2 4" xfId="21370" xr:uid="{5C0A8DCE-16EE-4306-8495-DD61D1006EC5}"/>
    <cellStyle name="Normal 9 5 2 5 3" xfId="6552" xr:uid="{00000000-0005-0000-0000-00005B200000}"/>
    <cellStyle name="Normal 9 5 2 5 3 2" xfId="15002" xr:uid="{CFAF0AF2-4EBD-4BA4-8A44-B71F7D1F65B3}"/>
    <cellStyle name="Normal 9 5 2 5 3 3" xfId="23442" xr:uid="{D501324E-DD60-444F-927F-A878C585FAAA}"/>
    <cellStyle name="Normal 9 5 2 5 4" xfId="10784" xr:uid="{18633A92-F65D-416C-AD5A-73B443AD9A35}"/>
    <cellStyle name="Normal 9 5 2 5 5" xfId="19225" xr:uid="{5612F2ED-20A6-405C-A28E-9CFC4CFC0913}"/>
    <cellStyle name="Normal 9 5 2 6" xfId="2682" xr:uid="{00000000-0005-0000-0000-00005C200000}"/>
    <cellStyle name="Normal 9 5 2 6 2" xfId="6965" xr:uid="{00000000-0005-0000-0000-00005D200000}"/>
    <cellStyle name="Normal 9 5 2 6 2 2" xfId="15415" xr:uid="{D7EBA647-9F4B-43E5-8BF9-EEF3A2A0CD21}"/>
    <cellStyle name="Normal 9 5 2 6 2 3" xfId="23855" xr:uid="{5A7624F6-25AA-4058-9C6D-4654380C1813}"/>
    <cellStyle name="Normal 9 5 2 6 3" xfId="11197" xr:uid="{F42670DC-AF2E-40A2-93AF-17D53A633F43}"/>
    <cellStyle name="Normal 9 5 2 6 4" xfId="19638" xr:uid="{AF219DB4-7539-4E8B-A588-3012F9B0FC4B}"/>
    <cellStyle name="Normal 9 5 2 7" xfId="4900" xr:uid="{00000000-0005-0000-0000-00005E200000}"/>
    <cellStyle name="Normal 9 5 2 7 2" xfId="13350" xr:uid="{9220F139-9B88-4AC9-B10C-AF7B7C063F91}"/>
    <cellStyle name="Normal 9 5 2 7 3" xfId="21790" xr:uid="{6B80FA1D-EA07-449D-93CE-E0DCD4117ED6}"/>
    <cellStyle name="Normal 9 5 2 8" xfId="9132" xr:uid="{5B1C555B-2860-4740-B69F-8685169FD684}"/>
    <cellStyle name="Normal 9 5 2 9" xfId="17573" xr:uid="{A3A60BBB-1A15-40F4-95C4-317FEC5C2FF8}"/>
    <cellStyle name="Normal 9 5 3" xfId="1003" xr:uid="{00000000-0005-0000-0000-00005F200000}"/>
    <cellStyle name="Normal 9 5 3 2" xfId="3235" xr:uid="{00000000-0005-0000-0000-000060200000}"/>
    <cellStyle name="Normal 9 5 3 2 2" xfId="7457" xr:uid="{00000000-0005-0000-0000-000061200000}"/>
    <cellStyle name="Normal 9 5 3 2 2 2" xfId="15907" xr:uid="{10D77DBA-4D8B-461F-B519-609101D15C52}"/>
    <cellStyle name="Normal 9 5 3 2 2 3" xfId="24347" xr:uid="{C3FCFF7D-5A2E-402C-B79E-4956A32890AE}"/>
    <cellStyle name="Normal 9 5 3 2 3" xfId="11689" xr:uid="{6DA87575-CC30-4D1E-B8C0-E4ED6797085D}"/>
    <cellStyle name="Normal 9 5 3 2 4" xfId="20130" xr:uid="{49F3A1AA-2EF7-4B30-AB83-03AEADA076C4}"/>
    <cellStyle name="Normal 9 5 3 3" xfId="5312" xr:uid="{00000000-0005-0000-0000-000062200000}"/>
    <cellStyle name="Normal 9 5 3 3 2" xfId="13762" xr:uid="{55B7E7E9-5172-46FB-8318-87A9AFDD6CBE}"/>
    <cellStyle name="Normal 9 5 3 3 3" xfId="22202" xr:uid="{59033D6B-9FDB-43EF-AEF3-C2C8CCB5DB44}"/>
    <cellStyle name="Normal 9 5 3 4" xfId="9544" xr:uid="{B6232EEF-4FBD-4CB1-BFB3-4BB09E81EC64}"/>
    <cellStyle name="Normal 9 5 3 5" xfId="17985" xr:uid="{A1FACA95-1E40-4978-A17D-293CCDB602EF}"/>
    <cellStyle name="Normal 9 5 4" xfId="1418" xr:uid="{00000000-0005-0000-0000-000063200000}"/>
    <cellStyle name="Normal 9 5 4 2" xfId="3648" xr:uid="{00000000-0005-0000-0000-000064200000}"/>
    <cellStyle name="Normal 9 5 4 2 2" xfId="7870" xr:uid="{00000000-0005-0000-0000-000065200000}"/>
    <cellStyle name="Normal 9 5 4 2 2 2" xfId="16320" xr:uid="{0FAD7308-1B1D-4089-A870-E1967BD35BEB}"/>
    <cellStyle name="Normal 9 5 4 2 2 3" xfId="24760" xr:uid="{00914614-1311-47FB-AFAA-E79629160B04}"/>
    <cellStyle name="Normal 9 5 4 2 3" xfId="12102" xr:uid="{A08CDB32-A856-4E2E-A87B-35C3FAFD5694}"/>
    <cellStyle name="Normal 9 5 4 2 4" xfId="20543" xr:uid="{EFB2B8C4-5205-4427-8032-A9B897ED80CF}"/>
    <cellStyle name="Normal 9 5 4 3" xfId="5725" xr:uid="{00000000-0005-0000-0000-000066200000}"/>
    <cellStyle name="Normal 9 5 4 3 2" xfId="14175" xr:uid="{28124609-3937-41A0-BD72-23D15E1032C9}"/>
    <cellStyle name="Normal 9 5 4 3 3" xfId="22615" xr:uid="{CF43ADC8-74F7-493C-B871-AAA8B973B34E}"/>
    <cellStyle name="Normal 9 5 4 4" xfId="9957" xr:uid="{2794D999-7F86-4D84-B7F6-09032A33C735}"/>
    <cellStyle name="Normal 9 5 4 5" xfId="18398" xr:uid="{7E872DCC-30D9-4F1A-AEFD-F132846FE9F7}"/>
    <cellStyle name="Normal 9 5 5" xfId="1831" xr:uid="{00000000-0005-0000-0000-000067200000}"/>
    <cellStyle name="Normal 9 5 5 2" xfId="4061" xr:uid="{00000000-0005-0000-0000-000068200000}"/>
    <cellStyle name="Normal 9 5 5 2 2" xfId="8283" xr:uid="{00000000-0005-0000-0000-000069200000}"/>
    <cellStyle name="Normal 9 5 5 2 2 2" xfId="16733" xr:uid="{92D3545B-C4F1-418B-973C-3B7DEBED8808}"/>
    <cellStyle name="Normal 9 5 5 2 2 3" xfId="25173" xr:uid="{5E252013-FC68-4288-B871-CE89E29C0736}"/>
    <cellStyle name="Normal 9 5 5 2 3" xfId="12515" xr:uid="{9F5BACDD-D00C-41F0-8423-49319FCEFF69}"/>
    <cellStyle name="Normal 9 5 5 2 4" xfId="20956" xr:uid="{93B2E054-E609-4A65-8EA7-F82169A5B5C3}"/>
    <cellStyle name="Normal 9 5 5 3" xfId="6138" xr:uid="{00000000-0005-0000-0000-00006A200000}"/>
    <cellStyle name="Normal 9 5 5 3 2" xfId="14588" xr:uid="{150C6972-3FF1-489B-B254-7C792D9A6D93}"/>
    <cellStyle name="Normal 9 5 5 3 3" xfId="23028" xr:uid="{8B1CD05F-4FD4-498D-BDCF-EDD2C761958B}"/>
    <cellStyle name="Normal 9 5 5 4" xfId="10370" xr:uid="{796C26E6-7D63-4F1D-B76E-DDFEBC21D33E}"/>
    <cellStyle name="Normal 9 5 5 5" xfId="18811" xr:uid="{4D80F01A-B880-4964-87AF-A9F9FB289A2F}"/>
    <cellStyle name="Normal 9 5 6" xfId="2245" xr:uid="{00000000-0005-0000-0000-00006B200000}"/>
    <cellStyle name="Normal 9 5 6 2" xfId="4474" xr:uid="{00000000-0005-0000-0000-00006C200000}"/>
    <cellStyle name="Normal 9 5 6 2 2" xfId="8696" xr:uid="{00000000-0005-0000-0000-00006D200000}"/>
    <cellStyle name="Normal 9 5 6 2 2 2" xfId="17146" xr:uid="{1636A89C-67BE-41F6-AA92-E2A02E2178DC}"/>
    <cellStyle name="Normal 9 5 6 2 2 3" xfId="25586" xr:uid="{7AA74235-F9B1-4ADE-9275-8A19F74B59E3}"/>
    <cellStyle name="Normal 9 5 6 2 3" xfId="12928" xr:uid="{D9A97144-0B4C-44DA-AA16-305A40270FF0}"/>
    <cellStyle name="Normal 9 5 6 2 4" xfId="21369" xr:uid="{42C1ECCB-27C3-4DC0-A7E3-8A4D2D9CB623}"/>
    <cellStyle name="Normal 9 5 6 3" xfId="6551" xr:uid="{00000000-0005-0000-0000-00006E200000}"/>
    <cellStyle name="Normal 9 5 6 3 2" xfId="15001" xr:uid="{CCAEBBB5-A186-4294-8D9D-CE3BF98FE1A0}"/>
    <cellStyle name="Normal 9 5 6 3 3" xfId="23441" xr:uid="{08FB69E7-E981-4D5B-87C5-7A865D46E57D}"/>
    <cellStyle name="Normal 9 5 6 4" xfId="10783" xr:uid="{8612B414-27B9-497D-878C-6CDBD73B3694}"/>
    <cellStyle name="Normal 9 5 6 5" xfId="19224" xr:uid="{E60C9F56-9C83-413B-B118-79F5747A3EE6}"/>
    <cellStyle name="Normal 9 5 7" xfId="2681" xr:uid="{00000000-0005-0000-0000-00006F200000}"/>
    <cellStyle name="Normal 9 5 7 2" xfId="6964" xr:uid="{00000000-0005-0000-0000-000070200000}"/>
    <cellStyle name="Normal 9 5 7 2 2" xfId="15414" xr:uid="{3BCD15E9-11E2-4ADC-970E-495789248AD2}"/>
    <cellStyle name="Normal 9 5 7 2 3" xfId="23854" xr:uid="{06F7E286-E857-4F6E-8B8C-729D1CA897FE}"/>
    <cellStyle name="Normal 9 5 7 3" xfId="11196" xr:uid="{008F4239-76A9-4A39-87B7-5EF70A486CE2}"/>
    <cellStyle name="Normal 9 5 7 4" xfId="19637" xr:uid="{AE0F186D-D75B-4D21-9880-A43597104237}"/>
    <cellStyle name="Normal 9 5 8" xfId="4899" xr:uid="{00000000-0005-0000-0000-000071200000}"/>
    <cellStyle name="Normal 9 5 8 2" xfId="13349" xr:uid="{3C772C03-E7C9-4D48-A44F-591164CF9E59}"/>
    <cellStyle name="Normal 9 5 8 3" xfId="21789" xr:uid="{42731FAD-61F7-49A5-A453-494C1F46582E}"/>
    <cellStyle name="Normal 9 5 9" xfId="9131" xr:uid="{4D5BB622-4F7D-440F-867D-7D99A4609C71}"/>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F44221BA-37E7-4B07-A49C-35BB748E2137}"/>
    <cellStyle name="Normal 9 6 2 2 2 3" xfId="24349" xr:uid="{9D0EA67A-C6A6-46F2-8C1B-741DDD6A2C87}"/>
    <cellStyle name="Normal 9 6 2 2 3" xfId="11691" xr:uid="{A596F388-9DAE-491D-8F35-DD198B6D11A8}"/>
    <cellStyle name="Normal 9 6 2 2 4" xfId="20132" xr:uid="{7029217F-7BC0-45AF-82C8-F931F1536D60}"/>
    <cellStyle name="Normal 9 6 2 3" xfId="5314" xr:uid="{00000000-0005-0000-0000-000076200000}"/>
    <cellStyle name="Normal 9 6 2 3 2" xfId="13764" xr:uid="{1D16F8E8-D121-454B-ACDB-A61B56C9614E}"/>
    <cellStyle name="Normal 9 6 2 3 3" xfId="22204" xr:uid="{315660EC-D56A-45BD-8149-2E5DB8A1D443}"/>
    <cellStyle name="Normal 9 6 2 4" xfId="9546" xr:uid="{6DCFDB9D-DE45-45F0-8D41-3F6BA34F7824}"/>
    <cellStyle name="Normal 9 6 2 5" xfId="17987" xr:uid="{75EA0A8C-BA4E-400C-A920-5E8547B1B3C7}"/>
    <cellStyle name="Normal 9 6 3" xfId="1420" xr:uid="{00000000-0005-0000-0000-000077200000}"/>
    <cellStyle name="Normal 9 6 3 2" xfId="3650" xr:uid="{00000000-0005-0000-0000-000078200000}"/>
    <cellStyle name="Normal 9 6 3 2 2" xfId="7872" xr:uid="{00000000-0005-0000-0000-000079200000}"/>
    <cellStyle name="Normal 9 6 3 2 2 2" xfId="16322" xr:uid="{9599F755-04B4-4270-8FBA-498B3EE424C8}"/>
    <cellStyle name="Normal 9 6 3 2 2 3" xfId="24762" xr:uid="{0399A723-30B0-49DF-979D-A5235649695D}"/>
    <cellStyle name="Normal 9 6 3 2 3" xfId="12104" xr:uid="{974BCCF0-C2D2-4CC1-AF54-96F115D798FA}"/>
    <cellStyle name="Normal 9 6 3 2 4" xfId="20545" xr:uid="{638BEC20-6A66-4D62-A452-AD5FD51E76A4}"/>
    <cellStyle name="Normal 9 6 3 3" xfId="5727" xr:uid="{00000000-0005-0000-0000-00007A200000}"/>
    <cellStyle name="Normal 9 6 3 3 2" xfId="14177" xr:uid="{4D5D1277-1A59-43D6-BB69-BBD40A2AA5BF}"/>
    <cellStyle name="Normal 9 6 3 3 3" xfId="22617" xr:uid="{0F66CAAE-53DF-40C8-BF0D-CB1AD00BB5D7}"/>
    <cellStyle name="Normal 9 6 3 4" xfId="9959" xr:uid="{B7686E3C-DF63-4F0E-8E02-02B841793D05}"/>
    <cellStyle name="Normal 9 6 3 5" xfId="18400" xr:uid="{4CB2CA3A-D081-47C6-9BB4-CE00B51CE0D6}"/>
    <cellStyle name="Normal 9 6 4" xfId="1833" xr:uid="{00000000-0005-0000-0000-00007B200000}"/>
    <cellStyle name="Normal 9 6 4 2" xfId="4063" xr:uid="{00000000-0005-0000-0000-00007C200000}"/>
    <cellStyle name="Normal 9 6 4 2 2" xfId="8285" xr:uid="{00000000-0005-0000-0000-00007D200000}"/>
    <cellStyle name="Normal 9 6 4 2 2 2" xfId="16735" xr:uid="{ABD9E19D-BA9A-40B7-ACBD-152D641B84E4}"/>
    <cellStyle name="Normal 9 6 4 2 2 3" xfId="25175" xr:uid="{DA89C4EF-FDE2-4219-A316-703DB20E0006}"/>
    <cellStyle name="Normal 9 6 4 2 3" xfId="12517" xr:uid="{17601D79-24BE-40F1-857A-34B153A456BD}"/>
    <cellStyle name="Normal 9 6 4 2 4" xfId="20958" xr:uid="{20C89715-FC3C-472C-98A9-A0B6268B1C1D}"/>
    <cellStyle name="Normal 9 6 4 3" xfId="6140" xr:uid="{00000000-0005-0000-0000-00007E200000}"/>
    <cellStyle name="Normal 9 6 4 3 2" xfId="14590" xr:uid="{B384A9DD-9832-4576-BD17-61BCE3DB0EEC}"/>
    <cellStyle name="Normal 9 6 4 3 3" xfId="23030" xr:uid="{BEC63F37-A8BD-4D6D-ACC9-2647085302F0}"/>
    <cellStyle name="Normal 9 6 4 4" xfId="10372" xr:uid="{D8D64111-7772-4C02-9000-7395C1ABFA65}"/>
    <cellStyle name="Normal 9 6 4 5" xfId="18813" xr:uid="{BB3BAA7E-BED3-4881-B236-5E2A6F875A17}"/>
    <cellStyle name="Normal 9 6 5" xfId="2247" xr:uid="{00000000-0005-0000-0000-00007F200000}"/>
    <cellStyle name="Normal 9 6 5 2" xfId="4476" xr:uid="{00000000-0005-0000-0000-000080200000}"/>
    <cellStyle name="Normal 9 6 5 2 2" xfId="8698" xr:uid="{00000000-0005-0000-0000-000081200000}"/>
    <cellStyle name="Normal 9 6 5 2 2 2" xfId="17148" xr:uid="{1346D32B-7A17-4D3B-A109-1245DD8B4E9A}"/>
    <cellStyle name="Normal 9 6 5 2 2 3" xfId="25588" xr:uid="{2989A62A-3FC0-415D-BCC9-85BA3C8B1FD6}"/>
    <cellStyle name="Normal 9 6 5 2 3" xfId="12930" xr:uid="{B36E0A40-C541-4DDE-8767-2CF4224A9237}"/>
    <cellStyle name="Normal 9 6 5 2 4" xfId="21371" xr:uid="{A2970B94-6772-4219-B6B4-DD96742AAF32}"/>
    <cellStyle name="Normal 9 6 5 3" xfId="6553" xr:uid="{00000000-0005-0000-0000-000082200000}"/>
    <cellStyle name="Normal 9 6 5 3 2" xfId="15003" xr:uid="{4DCD9C32-C16F-4181-8A97-C59124484B7F}"/>
    <cellStyle name="Normal 9 6 5 3 3" xfId="23443" xr:uid="{F7D787A4-9CC3-4C89-AB42-B2266BB46C91}"/>
    <cellStyle name="Normal 9 6 5 4" xfId="10785" xr:uid="{AC16CC4C-F119-4E04-9ACD-71456FB79FBF}"/>
    <cellStyle name="Normal 9 6 5 5" xfId="19226" xr:uid="{E0F981D4-F3E2-49B7-B620-4D2489E102FE}"/>
    <cellStyle name="Normal 9 6 6" xfId="2683" xr:uid="{00000000-0005-0000-0000-000083200000}"/>
    <cellStyle name="Normal 9 6 6 2" xfId="6966" xr:uid="{00000000-0005-0000-0000-000084200000}"/>
    <cellStyle name="Normal 9 6 6 2 2" xfId="15416" xr:uid="{54EEC7F6-C9E9-4AAD-B76E-38900CB69C57}"/>
    <cellStyle name="Normal 9 6 6 2 3" xfId="23856" xr:uid="{4DA10681-421C-4015-A3FB-385486A811EF}"/>
    <cellStyle name="Normal 9 6 6 3" xfId="11198" xr:uid="{428D66AF-5F08-4813-9824-BB7442F2251E}"/>
    <cellStyle name="Normal 9 6 6 4" xfId="19639" xr:uid="{C2D70F33-FFBE-4251-95FD-F2E7B6FC81EC}"/>
    <cellStyle name="Normal 9 6 7" xfId="4901" xr:uid="{00000000-0005-0000-0000-000085200000}"/>
    <cellStyle name="Normal 9 6 7 2" xfId="13351" xr:uid="{257E9CFA-F5F8-4374-8620-7B5AF1868A2C}"/>
    <cellStyle name="Normal 9 6 7 3" xfId="21791" xr:uid="{67EE443B-ECE3-40DD-8AC9-FA82B012E96A}"/>
    <cellStyle name="Normal 9 6 8" xfId="9133" xr:uid="{FDF801DE-DE69-40CE-B449-6871FC406F5A}"/>
    <cellStyle name="Normal 9 6 9" xfId="17574" xr:uid="{1B0B49C8-C892-4EEF-B6AC-3AF5F6104D44}"/>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DD9AB3C1-9E52-476A-97F5-DB287807EDE5}"/>
    <cellStyle name="Note 2 2 10 2 3" xfId="23937" xr:uid="{1849BEBC-6C22-423D-943B-53575A25D463}"/>
    <cellStyle name="Note 2 2 10 3" xfId="11279" xr:uid="{F5B497AC-5235-456F-9A8D-DC63ACBFB3C7}"/>
    <cellStyle name="Note 2 2 10 4" xfId="19720" xr:uid="{E9CF5B7F-0F34-437B-A1BC-A957BBEE4E00}"/>
    <cellStyle name="Note 2 2 11" xfId="4902" xr:uid="{00000000-0005-0000-0000-000094200000}"/>
    <cellStyle name="Note 2 2 11 2" xfId="13352" xr:uid="{AA6FE13E-B795-458A-9FC8-7CD7927AB0A8}"/>
    <cellStyle name="Note 2 2 11 3" xfId="21792" xr:uid="{030C8FE6-DED5-4B80-9D86-563E0A578EEA}"/>
    <cellStyle name="Note 2 2 12" xfId="9134" xr:uid="{4C0EF3C3-D03C-4FC9-A03E-E31AE3A96405}"/>
    <cellStyle name="Note 2 2 13" xfId="17575" xr:uid="{3B5EA334-965D-4A15-86E7-558030C0B4EE}"/>
    <cellStyle name="Note 2 2 2" xfId="546" xr:uid="{00000000-0005-0000-0000-000095200000}"/>
    <cellStyle name="Note 2 2 2 10" xfId="4903" xr:uid="{00000000-0005-0000-0000-000096200000}"/>
    <cellStyle name="Note 2 2 2 10 2" xfId="13353" xr:uid="{365D6809-9E33-4B1A-B15B-6A5FCBFBDE12}"/>
    <cellStyle name="Note 2 2 2 10 3" xfId="21793" xr:uid="{B4E828D9-1AAB-44FA-AF19-856B806EF9AB}"/>
    <cellStyle name="Note 2 2 2 11" xfId="9135" xr:uid="{1852BBFF-BD4F-4DF6-980C-4F200A82D60E}"/>
    <cellStyle name="Note 2 2 2 12" xfId="17576" xr:uid="{7174486F-1AA1-4F7D-B61C-534C436EF3FC}"/>
    <cellStyle name="Note 2 2 2 2" xfId="547" xr:uid="{00000000-0005-0000-0000-000097200000}"/>
    <cellStyle name="Note 2 2 2 2 10" xfId="9136" xr:uid="{07CBFB4F-29F4-489F-9A5E-292BAFBEB762}"/>
    <cellStyle name="Note 2 2 2 2 11" xfId="17577" xr:uid="{21999659-0EF7-43EE-9AEB-762E358781F1}"/>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8099AC12-74A5-41ED-BE3D-D9BC9E9249D6}"/>
    <cellStyle name="Note 2 2 2 2 2 2 2 3" xfId="24352" xr:uid="{778E3CAD-9DFB-4262-A1C4-D111BB1F15D9}"/>
    <cellStyle name="Note 2 2 2 2 2 2 3" xfId="11694" xr:uid="{AB47B589-DFAF-478D-A2B7-E17E720C8CE7}"/>
    <cellStyle name="Note 2 2 2 2 2 2 4" xfId="20135" xr:uid="{0A46C59A-A58B-46B4-9113-27664D1ADC9A}"/>
    <cellStyle name="Note 2 2 2 2 2 3" xfId="5317" xr:uid="{00000000-0005-0000-0000-00009B200000}"/>
    <cellStyle name="Note 2 2 2 2 2 3 2" xfId="13767" xr:uid="{D0BB1043-54E6-48CF-819B-89918ECB08F5}"/>
    <cellStyle name="Note 2 2 2 2 2 3 3" xfId="22207" xr:uid="{2D38BB5C-6012-4B18-AD3C-A814D75AE4A2}"/>
    <cellStyle name="Note 2 2 2 2 2 4" xfId="9549" xr:uid="{1C634EA5-4C79-4A64-946A-F915FFAC7466}"/>
    <cellStyle name="Note 2 2 2 2 2 5" xfId="17990" xr:uid="{9417076A-81BC-4C0E-98C9-E0C2F9EB6BAB}"/>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2E315523-AF32-48F9-848F-00C059B05A1D}"/>
    <cellStyle name="Note 2 2 2 2 3 2 2 3" xfId="24765" xr:uid="{D2A98A59-91E9-4B81-947E-D351CA466924}"/>
    <cellStyle name="Note 2 2 2 2 3 2 3" xfId="12107" xr:uid="{03FEC60B-9C4E-4A6C-B317-B79C3D7CA5B4}"/>
    <cellStyle name="Note 2 2 2 2 3 2 4" xfId="20548" xr:uid="{3E9FD8EC-5FB9-4F9B-9AE1-9C4CE3328797}"/>
    <cellStyle name="Note 2 2 2 2 3 3" xfId="5730" xr:uid="{00000000-0005-0000-0000-00009F200000}"/>
    <cellStyle name="Note 2 2 2 2 3 3 2" xfId="14180" xr:uid="{185DDA7E-BF51-4466-AE71-52A86BD4D547}"/>
    <cellStyle name="Note 2 2 2 2 3 3 3" xfId="22620" xr:uid="{55CD7A7D-92DD-4CDF-A310-2236CF773848}"/>
    <cellStyle name="Note 2 2 2 2 3 4" xfId="9962" xr:uid="{B13EF0DE-7439-4A4B-B128-DC652FCCC546}"/>
    <cellStyle name="Note 2 2 2 2 3 5" xfId="18403" xr:uid="{B4EC806F-A408-433C-8106-F56F0B0DEBB8}"/>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C2353D5C-63F2-4207-8673-3F3F77F1F32B}"/>
    <cellStyle name="Note 2 2 2 2 4 2 2 3" xfId="25178" xr:uid="{4A621548-B42D-481C-BD4E-49A7BE9ED53D}"/>
    <cellStyle name="Note 2 2 2 2 4 2 3" xfId="12520" xr:uid="{336EA803-87D6-4CD3-A323-857D9EE5E943}"/>
    <cellStyle name="Note 2 2 2 2 4 2 4" xfId="20961" xr:uid="{F7B04DF9-D76E-47DC-B07F-9DF0F79C18A0}"/>
    <cellStyle name="Note 2 2 2 2 4 3" xfId="6143" xr:uid="{00000000-0005-0000-0000-0000A3200000}"/>
    <cellStyle name="Note 2 2 2 2 4 3 2" xfId="14593" xr:uid="{0088ED96-CB13-46B8-A348-6F4B48256562}"/>
    <cellStyle name="Note 2 2 2 2 4 3 3" xfId="23033" xr:uid="{4EE8153A-AD13-431B-B5AA-A50E8A13F17B}"/>
    <cellStyle name="Note 2 2 2 2 4 4" xfId="10375" xr:uid="{F3594558-C90A-4239-8B19-FF94A38131BF}"/>
    <cellStyle name="Note 2 2 2 2 4 5" xfId="18816" xr:uid="{60C52ACE-2962-43F6-8C0A-F4DAC52E621E}"/>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FFE23C71-D2E0-4801-A26B-7F581490F766}"/>
    <cellStyle name="Note 2 2 2 2 5 2 2 3" xfId="25591" xr:uid="{2192CBB8-496E-4D93-9FE3-37A1EC071858}"/>
    <cellStyle name="Note 2 2 2 2 5 2 3" xfId="12933" xr:uid="{CDC3CAEC-60D4-4132-8794-2B3620284CE9}"/>
    <cellStyle name="Note 2 2 2 2 5 2 4" xfId="21374" xr:uid="{2730E7FD-705E-40F6-88B6-81FDA6CA32DE}"/>
    <cellStyle name="Note 2 2 2 2 5 3" xfId="6556" xr:uid="{00000000-0005-0000-0000-0000A7200000}"/>
    <cellStyle name="Note 2 2 2 2 5 3 2" xfId="15006" xr:uid="{FEB3801F-3C8B-4BF4-84B6-A599EA49CEF1}"/>
    <cellStyle name="Note 2 2 2 2 5 3 3" xfId="23446" xr:uid="{796E44A6-4414-413F-9029-BFA1ED5557AA}"/>
    <cellStyle name="Note 2 2 2 2 5 4" xfId="10788" xr:uid="{F1A004AD-C5DC-4B01-AFF3-C87D473C8041}"/>
    <cellStyle name="Note 2 2 2 2 5 5" xfId="19229" xr:uid="{458B77A1-9133-4449-A949-DBFE7A3AAF8D}"/>
    <cellStyle name="Note 2 2 2 2 6" xfId="2686" xr:uid="{00000000-0005-0000-0000-0000A8200000}"/>
    <cellStyle name="Note 2 2 2 2 6 2" xfId="6969" xr:uid="{00000000-0005-0000-0000-0000A9200000}"/>
    <cellStyle name="Note 2 2 2 2 6 2 2" xfId="15419" xr:uid="{06BF3375-9AC2-4D8C-A42B-409DBB500433}"/>
    <cellStyle name="Note 2 2 2 2 6 2 3" xfId="23859" xr:uid="{7F5735CD-8014-42C3-A452-59F19FB17EA3}"/>
    <cellStyle name="Note 2 2 2 2 6 3" xfId="11201" xr:uid="{4A1BF46A-C423-4D37-A141-EE9615B36C2D}"/>
    <cellStyle name="Note 2 2 2 2 6 4" xfId="19642" xr:uid="{4AACB8A7-835F-4D40-8347-3F592B64360D}"/>
    <cellStyle name="Note 2 2 2 2 7" xfId="2745" xr:uid="{00000000-0005-0000-0000-0000AA200000}"/>
    <cellStyle name="Note 2 2 2 2 8" xfId="2826" xr:uid="{00000000-0005-0000-0000-0000AB200000}"/>
    <cellStyle name="Note 2 2 2 2 8 2" xfId="7049" xr:uid="{00000000-0005-0000-0000-0000AC200000}"/>
    <cellStyle name="Note 2 2 2 2 8 2 2" xfId="15499" xr:uid="{AF997EE9-D3D8-4EF7-8237-A0A20E032237}"/>
    <cellStyle name="Note 2 2 2 2 8 2 3" xfId="23939" xr:uid="{7EAAF49B-6F28-49E1-AFFB-77C87B367C79}"/>
    <cellStyle name="Note 2 2 2 2 8 3" xfId="11281" xr:uid="{210BA3BF-7396-4ADA-8FDC-70A1BA47DE73}"/>
    <cellStyle name="Note 2 2 2 2 8 4" xfId="19722" xr:uid="{9ED5292E-5837-4CAC-A0D1-6065B26CF645}"/>
    <cellStyle name="Note 2 2 2 2 9" xfId="4904" xr:uid="{00000000-0005-0000-0000-0000AD200000}"/>
    <cellStyle name="Note 2 2 2 2 9 2" xfId="13354" xr:uid="{B130088D-CABF-4591-92E3-F5614852B129}"/>
    <cellStyle name="Note 2 2 2 2 9 3" xfId="21794" xr:uid="{AFA1C27A-E474-43EE-9E39-C95DF8C46CAB}"/>
    <cellStyle name="Note 2 2 2 3" xfId="1007" xr:uid="{00000000-0005-0000-0000-0000AE200000}"/>
    <cellStyle name="Note 2 2 2 3 2" xfId="3239" xr:uid="{00000000-0005-0000-0000-0000AF200000}"/>
    <cellStyle name="Note 2 2 2 3 2 2" xfId="7461" xr:uid="{00000000-0005-0000-0000-0000B0200000}"/>
    <cellStyle name="Note 2 2 2 3 2 2 2" xfId="15911" xr:uid="{35D0A6C6-0DAA-44F3-BB87-A340F7F5BF5E}"/>
    <cellStyle name="Note 2 2 2 3 2 2 3" xfId="24351" xr:uid="{6917BF29-50A9-4B59-9313-51C9A4A0DFCE}"/>
    <cellStyle name="Note 2 2 2 3 2 3" xfId="11693" xr:uid="{1464483D-8C8D-416D-9273-5841AC499E4D}"/>
    <cellStyle name="Note 2 2 2 3 2 4" xfId="20134" xr:uid="{737F5384-40ED-4548-B6AD-24D5DCFF9CB1}"/>
    <cellStyle name="Note 2 2 2 3 3" xfId="5316" xr:uid="{00000000-0005-0000-0000-0000B1200000}"/>
    <cellStyle name="Note 2 2 2 3 3 2" xfId="13766" xr:uid="{D24FDE1A-150F-43F8-8434-869301D20FE8}"/>
    <cellStyle name="Note 2 2 2 3 3 3" xfId="22206" xr:uid="{AE0BCAF6-0E8E-4881-9458-302DEDE8C13A}"/>
    <cellStyle name="Note 2 2 2 3 4" xfId="9548" xr:uid="{2AE166B6-6722-4798-866E-D2149BBCF046}"/>
    <cellStyle name="Note 2 2 2 3 5" xfId="17989" xr:uid="{580336C0-C237-4ED3-8FD9-7572DB6822AA}"/>
    <cellStyle name="Note 2 2 2 4" xfId="1422" xr:uid="{00000000-0005-0000-0000-0000B2200000}"/>
    <cellStyle name="Note 2 2 2 4 2" xfId="3652" xr:uid="{00000000-0005-0000-0000-0000B3200000}"/>
    <cellStyle name="Note 2 2 2 4 2 2" xfId="7874" xr:uid="{00000000-0005-0000-0000-0000B4200000}"/>
    <cellStyle name="Note 2 2 2 4 2 2 2" xfId="16324" xr:uid="{5539EF4E-8DF7-4936-BE42-6B3EAAAE6CBD}"/>
    <cellStyle name="Note 2 2 2 4 2 2 3" xfId="24764" xr:uid="{3F9DD778-3872-4B07-8FC5-AE1A579551C2}"/>
    <cellStyle name="Note 2 2 2 4 2 3" xfId="12106" xr:uid="{3A0AAB01-7106-483C-964F-67036463BF54}"/>
    <cellStyle name="Note 2 2 2 4 2 4" xfId="20547" xr:uid="{028FE8FA-CE75-4CB4-B032-1E0AE5C32E3A}"/>
    <cellStyle name="Note 2 2 2 4 3" xfId="5729" xr:uid="{00000000-0005-0000-0000-0000B5200000}"/>
    <cellStyle name="Note 2 2 2 4 3 2" xfId="14179" xr:uid="{5BA463EA-F2EC-4499-B77E-1B37F248892E}"/>
    <cellStyle name="Note 2 2 2 4 3 3" xfId="22619" xr:uid="{87294FDE-9E72-42D2-81E8-62E3F54182F1}"/>
    <cellStyle name="Note 2 2 2 4 4" xfId="9961" xr:uid="{F14FA9A4-8E96-424F-A789-4929FC16E4A1}"/>
    <cellStyle name="Note 2 2 2 4 5" xfId="18402" xr:uid="{7E6DC44B-7CEE-4424-8CD1-46B5C490C1BA}"/>
    <cellStyle name="Note 2 2 2 5" xfId="1836" xr:uid="{00000000-0005-0000-0000-0000B6200000}"/>
    <cellStyle name="Note 2 2 2 5 2" xfId="4065" xr:uid="{00000000-0005-0000-0000-0000B7200000}"/>
    <cellStyle name="Note 2 2 2 5 2 2" xfId="8287" xr:uid="{00000000-0005-0000-0000-0000B8200000}"/>
    <cellStyle name="Note 2 2 2 5 2 2 2" xfId="16737" xr:uid="{742F784F-9790-4C85-9965-68AD3A0F8752}"/>
    <cellStyle name="Note 2 2 2 5 2 2 3" xfId="25177" xr:uid="{C9F041EE-02C6-4747-A1C5-1D8804CCC101}"/>
    <cellStyle name="Note 2 2 2 5 2 3" xfId="12519" xr:uid="{8E47F199-720E-4A21-BC82-95229BEE6D17}"/>
    <cellStyle name="Note 2 2 2 5 2 4" xfId="20960" xr:uid="{AFF50131-5FDB-419A-BB50-22CD77027BE1}"/>
    <cellStyle name="Note 2 2 2 5 3" xfId="6142" xr:uid="{00000000-0005-0000-0000-0000B9200000}"/>
    <cellStyle name="Note 2 2 2 5 3 2" xfId="14592" xr:uid="{9A89676B-4B67-49EB-BE4F-E1C819707E34}"/>
    <cellStyle name="Note 2 2 2 5 3 3" xfId="23032" xr:uid="{6539493B-B007-4BF0-8953-30B547CF07A7}"/>
    <cellStyle name="Note 2 2 2 5 4" xfId="10374" xr:uid="{DCEB5939-D31A-4DC2-BD8F-FB9E0798BA29}"/>
    <cellStyle name="Note 2 2 2 5 5" xfId="18815" xr:uid="{FDD768C9-0E93-4FF2-BDEE-8E3419FDAD75}"/>
    <cellStyle name="Note 2 2 2 6" xfId="2249" xr:uid="{00000000-0005-0000-0000-0000BA200000}"/>
    <cellStyle name="Note 2 2 2 6 2" xfId="4478" xr:uid="{00000000-0005-0000-0000-0000BB200000}"/>
    <cellStyle name="Note 2 2 2 6 2 2" xfId="8700" xr:uid="{00000000-0005-0000-0000-0000BC200000}"/>
    <cellStyle name="Note 2 2 2 6 2 2 2" xfId="17150" xr:uid="{B922241A-BE09-4A7C-915E-502217C38B83}"/>
    <cellStyle name="Note 2 2 2 6 2 2 3" xfId="25590" xr:uid="{CA2EF082-9F39-4115-A02D-CBAA7BCAF18E}"/>
    <cellStyle name="Note 2 2 2 6 2 3" xfId="12932" xr:uid="{55114312-F8FC-4F37-B1DD-806F5D4C5348}"/>
    <cellStyle name="Note 2 2 2 6 2 4" xfId="21373" xr:uid="{360318E6-5609-4898-8097-761EC940F33B}"/>
    <cellStyle name="Note 2 2 2 6 3" xfId="6555" xr:uid="{00000000-0005-0000-0000-0000BD200000}"/>
    <cellStyle name="Note 2 2 2 6 3 2" xfId="15005" xr:uid="{EA97311F-2924-4159-AFCD-FEF5B88739A8}"/>
    <cellStyle name="Note 2 2 2 6 3 3" xfId="23445" xr:uid="{26F71BEE-B5A2-4F80-89D7-723700E5E1C4}"/>
    <cellStyle name="Note 2 2 2 6 4" xfId="10787" xr:uid="{1E499ECC-CC19-40D6-A78D-665A55ECED58}"/>
    <cellStyle name="Note 2 2 2 6 5" xfId="19228" xr:uid="{1BC07540-8C1A-4437-93A9-80FBC5A6EFEF}"/>
    <cellStyle name="Note 2 2 2 7" xfId="2685" xr:uid="{00000000-0005-0000-0000-0000BE200000}"/>
    <cellStyle name="Note 2 2 2 7 2" xfId="6968" xr:uid="{00000000-0005-0000-0000-0000BF200000}"/>
    <cellStyle name="Note 2 2 2 7 2 2" xfId="15418" xr:uid="{A2698C0B-E3ED-4C35-BD9A-7330E5D33258}"/>
    <cellStyle name="Note 2 2 2 7 2 3" xfId="23858" xr:uid="{7FA5C081-BF6D-4484-9166-8E8D6FE40B60}"/>
    <cellStyle name="Note 2 2 2 7 3" xfId="11200" xr:uid="{416D5888-AFF3-49BD-A5C5-611004965E05}"/>
    <cellStyle name="Note 2 2 2 7 4" xfId="19641" xr:uid="{3E633EAE-B449-42B4-9A61-AFBC5565EFD6}"/>
    <cellStyle name="Note 2 2 2 8" xfId="2744" xr:uid="{00000000-0005-0000-0000-0000C0200000}"/>
    <cellStyle name="Note 2 2 2 9" xfId="2825" xr:uid="{00000000-0005-0000-0000-0000C1200000}"/>
    <cellStyle name="Note 2 2 2 9 2" xfId="7048" xr:uid="{00000000-0005-0000-0000-0000C2200000}"/>
    <cellStyle name="Note 2 2 2 9 2 2" xfId="15498" xr:uid="{AFDA8C1D-A5AA-4EE2-A039-A82550F0744B}"/>
    <cellStyle name="Note 2 2 2 9 2 3" xfId="23938" xr:uid="{C602DD2F-D5EB-48F5-AF6E-932B4DA6802A}"/>
    <cellStyle name="Note 2 2 2 9 3" xfId="11280" xr:uid="{21CBE330-8CD5-4D41-8F34-51C8AA8089A0}"/>
    <cellStyle name="Note 2 2 2 9 4" xfId="19721" xr:uid="{431BDB67-346A-4147-BA66-4787B1085FC7}"/>
    <cellStyle name="Note 2 2 3" xfId="548" xr:uid="{00000000-0005-0000-0000-0000C3200000}"/>
    <cellStyle name="Note 2 2 3 10" xfId="9137" xr:uid="{240A92DB-B34E-479C-845F-C57C74088ED8}"/>
    <cellStyle name="Note 2 2 3 11" xfId="17578" xr:uid="{4DF4CA49-08E3-4DE3-BE33-C0D6CBC2AA22}"/>
    <cellStyle name="Note 2 2 3 2" xfId="1009" xr:uid="{00000000-0005-0000-0000-0000C4200000}"/>
    <cellStyle name="Note 2 2 3 2 2" xfId="3241" xr:uid="{00000000-0005-0000-0000-0000C5200000}"/>
    <cellStyle name="Note 2 2 3 2 2 2" xfId="7463" xr:uid="{00000000-0005-0000-0000-0000C6200000}"/>
    <cellStyle name="Note 2 2 3 2 2 2 2" xfId="15913" xr:uid="{5BBC684A-6DAA-4E46-9029-C0DE4ED7504E}"/>
    <cellStyle name="Note 2 2 3 2 2 2 3" xfId="24353" xr:uid="{7F73828C-2EF6-42FE-8BF7-8FF8F8B33328}"/>
    <cellStyle name="Note 2 2 3 2 2 3" xfId="11695" xr:uid="{C72984A6-1424-4041-93F9-212B6FDCA529}"/>
    <cellStyle name="Note 2 2 3 2 2 4" xfId="20136" xr:uid="{AC82E2D4-9BD3-4233-8E08-2AB9E9D30334}"/>
    <cellStyle name="Note 2 2 3 2 3" xfId="5318" xr:uid="{00000000-0005-0000-0000-0000C7200000}"/>
    <cellStyle name="Note 2 2 3 2 3 2" xfId="13768" xr:uid="{9ED68A7E-7CE7-4BDC-8A2F-A0DFCA4AF0BC}"/>
    <cellStyle name="Note 2 2 3 2 3 3" xfId="22208" xr:uid="{D739A811-F9AC-4735-8992-D3613193D2A4}"/>
    <cellStyle name="Note 2 2 3 2 4" xfId="9550" xr:uid="{C1F9E8C4-5CBC-4FB1-95FB-52391BBF7364}"/>
    <cellStyle name="Note 2 2 3 2 5" xfId="17991" xr:uid="{E16CDBC8-2B2C-4DE6-BF55-3E250668A3C4}"/>
    <cellStyle name="Note 2 2 3 3" xfId="1424" xr:uid="{00000000-0005-0000-0000-0000C8200000}"/>
    <cellStyle name="Note 2 2 3 3 2" xfId="3654" xr:uid="{00000000-0005-0000-0000-0000C9200000}"/>
    <cellStyle name="Note 2 2 3 3 2 2" xfId="7876" xr:uid="{00000000-0005-0000-0000-0000CA200000}"/>
    <cellStyle name="Note 2 2 3 3 2 2 2" xfId="16326" xr:uid="{91F39D47-C676-4643-906E-7E373A723351}"/>
    <cellStyle name="Note 2 2 3 3 2 2 3" xfId="24766" xr:uid="{6D18E1DF-1AF7-4B0D-8460-977C576AD9BB}"/>
    <cellStyle name="Note 2 2 3 3 2 3" xfId="12108" xr:uid="{9AA66DA8-5FE7-4A85-AAEF-D9750C197023}"/>
    <cellStyle name="Note 2 2 3 3 2 4" xfId="20549" xr:uid="{1974086B-AC86-4247-9112-75192BE239E7}"/>
    <cellStyle name="Note 2 2 3 3 3" xfId="5731" xr:uid="{00000000-0005-0000-0000-0000CB200000}"/>
    <cellStyle name="Note 2 2 3 3 3 2" xfId="14181" xr:uid="{C913DFF8-68BD-45BE-B9AA-D677D079F08E}"/>
    <cellStyle name="Note 2 2 3 3 3 3" xfId="22621" xr:uid="{CD378F4A-FCD3-49BB-9273-89C68053BDC3}"/>
    <cellStyle name="Note 2 2 3 3 4" xfId="9963" xr:uid="{92C00BEC-BA7C-49FC-B47A-7DE9499C19AF}"/>
    <cellStyle name="Note 2 2 3 3 5" xfId="18404" xr:uid="{3782E1FB-7320-455A-A5A5-E6CC97312E7F}"/>
    <cellStyle name="Note 2 2 3 4" xfId="1838" xr:uid="{00000000-0005-0000-0000-0000CC200000}"/>
    <cellStyle name="Note 2 2 3 4 2" xfId="4067" xr:uid="{00000000-0005-0000-0000-0000CD200000}"/>
    <cellStyle name="Note 2 2 3 4 2 2" xfId="8289" xr:uid="{00000000-0005-0000-0000-0000CE200000}"/>
    <cellStyle name="Note 2 2 3 4 2 2 2" xfId="16739" xr:uid="{6E36EAF6-DE37-4869-AD45-3714AD1EA29C}"/>
    <cellStyle name="Note 2 2 3 4 2 2 3" xfId="25179" xr:uid="{38868FFA-3E17-4C36-B7F2-C4793326DB4A}"/>
    <cellStyle name="Note 2 2 3 4 2 3" xfId="12521" xr:uid="{162B5CCF-5BFD-4AB3-972D-785ADD229B8B}"/>
    <cellStyle name="Note 2 2 3 4 2 4" xfId="20962" xr:uid="{75824E1F-8012-47A7-9E48-A0BC5428B5BE}"/>
    <cellStyle name="Note 2 2 3 4 3" xfId="6144" xr:uid="{00000000-0005-0000-0000-0000CF200000}"/>
    <cellStyle name="Note 2 2 3 4 3 2" xfId="14594" xr:uid="{864F8E58-6F84-41AD-875D-E381221F4B73}"/>
    <cellStyle name="Note 2 2 3 4 3 3" xfId="23034" xr:uid="{4B80594E-91C8-45C4-B951-768C330D3171}"/>
    <cellStyle name="Note 2 2 3 4 4" xfId="10376" xr:uid="{D8169528-8673-48E3-B3BB-41750FAA893D}"/>
    <cellStyle name="Note 2 2 3 4 5" xfId="18817" xr:uid="{4E100439-90C8-4B87-A447-C460294FF240}"/>
    <cellStyle name="Note 2 2 3 5" xfId="2251" xr:uid="{00000000-0005-0000-0000-0000D0200000}"/>
    <cellStyle name="Note 2 2 3 5 2" xfId="4480" xr:uid="{00000000-0005-0000-0000-0000D1200000}"/>
    <cellStyle name="Note 2 2 3 5 2 2" xfId="8702" xr:uid="{00000000-0005-0000-0000-0000D2200000}"/>
    <cellStyle name="Note 2 2 3 5 2 2 2" xfId="17152" xr:uid="{2AC6CDA0-87A0-49A9-AD2E-1E13D421AAF0}"/>
    <cellStyle name="Note 2 2 3 5 2 2 3" xfId="25592" xr:uid="{AFAB53C6-7647-4812-BA88-5336113183A1}"/>
    <cellStyle name="Note 2 2 3 5 2 3" xfId="12934" xr:uid="{2DCC4CB3-5A1A-4B39-B7EF-DB20E744802C}"/>
    <cellStyle name="Note 2 2 3 5 2 4" xfId="21375" xr:uid="{8A063282-3B03-4C56-AAAB-D26CD0E9C91C}"/>
    <cellStyle name="Note 2 2 3 5 3" xfId="6557" xr:uid="{00000000-0005-0000-0000-0000D3200000}"/>
    <cellStyle name="Note 2 2 3 5 3 2" xfId="15007" xr:uid="{DC2E521C-6905-4604-9588-B591E8930CB9}"/>
    <cellStyle name="Note 2 2 3 5 3 3" xfId="23447" xr:uid="{ED9E0FEA-1DB0-4F96-83F1-288D2F22EA58}"/>
    <cellStyle name="Note 2 2 3 5 4" xfId="10789" xr:uid="{B245F0AF-0819-45FD-BEEE-38E413BB7981}"/>
    <cellStyle name="Note 2 2 3 5 5" xfId="19230" xr:uid="{1EC3C511-CF54-47F6-A098-B6AA5617D447}"/>
    <cellStyle name="Note 2 2 3 6" xfId="2687" xr:uid="{00000000-0005-0000-0000-0000D4200000}"/>
    <cellStyle name="Note 2 2 3 6 2" xfId="6970" xr:uid="{00000000-0005-0000-0000-0000D5200000}"/>
    <cellStyle name="Note 2 2 3 6 2 2" xfId="15420" xr:uid="{59585DA6-83E8-4916-BDFA-1951C8095083}"/>
    <cellStyle name="Note 2 2 3 6 2 3" xfId="23860" xr:uid="{F22338C6-215D-44F2-A15B-4A2A2BBB962E}"/>
    <cellStyle name="Note 2 2 3 6 3" xfId="11202" xr:uid="{A358194C-748D-4F73-8EA4-6EF9B66C67D9}"/>
    <cellStyle name="Note 2 2 3 6 4" xfId="19643" xr:uid="{F81FF423-7528-4915-94D8-D34D570BC90F}"/>
    <cellStyle name="Note 2 2 3 7" xfId="2746" xr:uid="{00000000-0005-0000-0000-0000D6200000}"/>
    <cellStyle name="Note 2 2 3 8" xfId="2827" xr:uid="{00000000-0005-0000-0000-0000D7200000}"/>
    <cellStyle name="Note 2 2 3 8 2" xfId="7050" xr:uid="{00000000-0005-0000-0000-0000D8200000}"/>
    <cellStyle name="Note 2 2 3 8 2 2" xfId="15500" xr:uid="{BBFFE07E-5301-4416-A70F-59A792FA7296}"/>
    <cellStyle name="Note 2 2 3 8 2 3" xfId="23940" xr:uid="{1A366169-EFEE-4F6E-8871-A370CCF3E806}"/>
    <cellStyle name="Note 2 2 3 8 3" xfId="11282" xr:uid="{E6F7D091-D1F6-4499-A1D2-DB310F21FBD1}"/>
    <cellStyle name="Note 2 2 3 8 4" xfId="19723" xr:uid="{7CBB2B70-E083-48ED-8F32-D9919A8FEA12}"/>
    <cellStyle name="Note 2 2 3 9" xfId="4905" xr:uid="{00000000-0005-0000-0000-0000D9200000}"/>
    <cellStyle name="Note 2 2 3 9 2" xfId="13355" xr:uid="{F4AD25B1-FBC5-4FEA-BD8B-E4F7CA486112}"/>
    <cellStyle name="Note 2 2 3 9 3" xfId="21795" xr:uid="{8A3E29CE-DCA1-4EA3-AB97-868159B54DE3}"/>
    <cellStyle name="Note 2 2 4" xfId="1006" xr:uid="{00000000-0005-0000-0000-0000DA200000}"/>
    <cellStyle name="Note 2 2 4 2" xfId="3238" xr:uid="{00000000-0005-0000-0000-0000DB200000}"/>
    <cellStyle name="Note 2 2 4 2 2" xfId="7460" xr:uid="{00000000-0005-0000-0000-0000DC200000}"/>
    <cellStyle name="Note 2 2 4 2 2 2" xfId="15910" xr:uid="{09F9606A-F9A8-4156-8442-1C77FA55CB0F}"/>
    <cellStyle name="Note 2 2 4 2 2 3" xfId="24350" xr:uid="{1ECE3320-D88E-401E-9CBA-5D0DFB9C597C}"/>
    <cellStyle name="Note 2 2 4 2 3" xfId="11692" xr:uid="{F1BBFFF3-C014-410D-8D9A-8E4EF66138BD}"/>
    <cellStyle name="Note 2 2 4 2 4" xfId="20133" xr:uid="{5B0B7974-69C8-4A26-ACBC-17A8FC1E9406}"/>
    <cellStyle name="Note 2 2 4 3" xfId="5315" xr:uid="{00000000-0005-0000-0000-0000DD200000}"/>
    <cellStyle name="Note 2 2 4 3 2" xfId="13765" xr:uid="{0BA6D2C6-A67F-4CA1-9FEF-202B3B415FD9}"/>
    <cellStyle name="Note 2 2 4 3 3" xfId="22205" xr:uid="{8CD9FEE4-729D-4718-9FE1-5AF7F1FDEDDD}"/>
    <cellStyle name="Note 2 2 4 4" xfId="9547" xr:uid="{71689FB4-F3FA-4182-AFF0-0A59DAFA3BD0}"/>
    <cellStyle name="Note 2 2 4 5" xfId="17988" xr:uid="{CEB5D821-AC5D-43A7-A75A-62A8DA0F772F}"/>
    <cellStyle name="Note 2 2 5" xfId="1421" xr:uid="{00000000-0005-0000-0000-0000DE200000}"/>
    <cellStyle name="Note 2 2 5 2" xfId="3651" xr:uid="{00000000-0005-0000-0000-0000DF200000}"/>
    <cellStyle name="Note 2 2 5 2 2" xfId="7873" xr:uid="{00000000-0005-0000-0000-0000E0200000}"/>
    <cellStyle name="Note 2 2 5 2 2 2" xfId="16323" xr:uid="{B37C8857-9A7E-4EC0-A93B-8F4F2B88254C}"/>
    <cellStyle name="Note 2 2 5 2 2 3" xfId="24763" xr:uid="{C389396A-4316-467A-8636-B797A8C74393}"/>
    <cellStyle name="Note 2 2 5 2 3" xfId="12105" xr:uid="{2F18A013-F242-4DDD-B7E1-22116F5331E0}"/>
    <cellStyle name="Note 2 2 5 2 4" xfId="20546" xr:uid="{B7760350-73AF-4C20-A50F-972F8448D316}"/>
    <cellStyle name="Note 2 2 5 3" xfId="5728" xr:uid="{00000000-0005-0000-0000-0000E1200000}"/>
    <cellStyle name="Note 2 2 5 3 2" xfId="14178" xr:uid="{230C3738-AD0D-435F-8876-137D5B87DD5E}"/>
    <cellStyle name="Note 2 2 5 3 3" xfId="22618" xr:uid="{97E224F1-865D-47ED-BB15-E355425B979C}"/>
    <cellStyle name="Note 2 2 5 4" xfId="9960" xr:uid="{B6564759-2F6A-4C86-9EAD-8788B355B26D}"/>
    <cellStyle name="Note 2 2 5 5" xfId="18401" xr:uid="{FA05F2C1-C1BE-4D84-9BFE-00CC06C905BD}"/>
    <cellStyle name="Note 2 2 6" xfId="1835" xr:uid="{00000000-0005-0000-0000-0000E2200000}"/>
    <cellStyle name="Note 2 2 6 2" xfId="4064" xr:uid="{00000000-0005-0000-0000-0000E3200000}"/>
    <cellStyle name="Note 2 2 6 2 2" xfId="8286" xr:uid="{00000000-0005-0000-0000-0000E4200000}"/>
    <cellStyle name="Note 2 2 6 2 2 2" xfId="16736" xr:uid="{70764B6A-3611-4B60-88E2-77FB9A71A62E}"/>
    <cellStyle name="Note 2 2 6 2 2 3" xfId="25176" xr:uid="{E5D49676-93C0-4D32-8131-3C0FB5E2EE1C}"/>
    <cellStyle name="Note 2 2 6 2 3" xfId="12518" xr:uid="{034F21B5-C3CF-4C92-B7DA-D99D3BE870ED}"/>
    <cellStyle name="Note 2 2 6 2 4" xfId="20959" xr:uid="{91467A93-3E22-4630-AE21-010908C64B44}"/>
    <cellStyle name="Note 2 2 6 3" xfId="6141" xr:uid="{00000000-0005-0000-0000-0000E5200000}"/>
    <cellStyle name="Note 2 2 6 3 2" xfId="14591" xr:uid="{E713E63C-7317-4776-B9FB-DCB07B54E183}"/>
    <cellStyle name="Note 2 2 6 3 3" xfId="23031" xr:uid="{652539EF-C85A-423B-A212-205F67A4D63E}"/>
    <cellStyle name="Note 2 2 6 4" xfId="10373" xr:uid="{4C3C5DCF-5192-41E5-BCAF-949551C288BF}"/>
    <cellStyle name="Note 2 2 6 5" xfId="18814" xr:uid="{33A1814D-9958-4C14-8F19-BF15174D7CC6}"/>
    <cellStyle name="Note 2 2 7" xfId="2248" xr:uid="{00000000-0005-0000-0000-0000E6200000}"/>
    <cellStyle name="Note 2 2 7 2" xfId="4477" xr:uid="{00000000-0005-0000-0000-0000E7200000}"/>
    <cellStyle name="Note 2 2 7 2 2" xfId="8699" xr:uid="{00000000-0005-0000-0000-0000E8200000}"/>
    <cellStyle name="Note 2 2 7 2 2 2" xfId="17149" xr:uid="{D8C476DF-44F8-47AC-B5BE-58F98DBC2082}"/>
    <cellStyle name="Note 2 2 7 2 2 3" xfId="25589" xr:uid="{A3825D76-D8E8-455D-BD5A-46CDA97D350E}"/>
    <cellStyle name="Note 2 2 7 2 3" xfId="12931" xr:uid="{7F965E29-99A3-453C-A59C-87C7A871E050}"/>
    <cellStyle name="Note 2 2 7 2 4" xfId="21372" xr:uid="{EE87E8BD-DEA6-4FF2-8156-1B12E9E53FD9}"/>
    <cellStyle name="Note 2 2 7 3" xfId="6554" xr:uid="{00000000-0005-0000-0000-0000E9200000}"/>
    <cellStyle name="Note 2 2 7 3 2" xfId="15004" xr:uid="{DC08B54B-DBD3-4CC6-8D75-95BCF24B7E05}"/>
    <cellStyle name="Note 2 2 7 3 3" xfId="23444" xr:uid="{57313EE3-5F83-43AA-B96E-1CB6B7959D0E}"/>
    <cellStyle name="Note 2 2 7 4" xfId="10786" xr:uid="{7487A35E-5D19-4E02-9098-A60C2ED23AC0}"/>
    <cellStyle name="Note 2 2 7 5" xfId="19227" xr:uid="{48FAC82F-A2ED-4379-BFDD-C4985BF40927}"/>
    <cellStyle name="Note 2 2 8" xfId="2684" xr:uid="{00000000-0005-0000-0000-0000EA200000}"/>
    <cellStyle name="Note 2 2 8 2" xfId="6967" xr:uid="{00000000-0005-0000-0000-0000EB200000}"/>
    <cellStyle name="Note 2 2 8 2 2" xfId="15417" xr:uid="{12751E91-70FC-4F53-9F2E-F68665AE534F}"/>
    <cellStyle name="Note 2 2 8 2 3" xfId="23857" xr:uid="{6F78D940-4A1E-466D-A8EF-3CC67A126C7A}"/>
    <cellStyle name="Note 2 2 8 3" xfId="11199" xr:uid="{52BC8A1B-89B6-42E6-AC79-99C7C943005E}"/>
    <cellStyle name="Note 2 2 8 4" xfId="19640" xr:uid="{E5FACFF2-3663-426F-965A-13736E5788A6}"/>
    <cellStyle name="Note 2 2 9" xfId="2743" xr:uid="{00000000-0005-0000-0000-0000EC200000}"/>
    <cellStyle name="Note 2 3" xfId="549" xr:uid="{00000000-0005-0000-0000-0000ED200000}"/>
    <cellStyle name="Note 2 3 10" xfId="4906" xr:uid="{00000000-0005-0000-0000-0000EE200000}"/>
    <cellStyle name="Note 2 3 10 2" xfId="13356" xr:uid="{4FE79929-3E94-4411-B223-4880831334C8}"/>
    <cellStyle name="Note 2 3 10 3" xfId="21796" xr:uid="{86A5DB51-A55B-41B6-B104-56AE8831B2D2}"/>
    <cellStyle name="Note 2 3 11" xfId="9138" xr:uid="{C3E9836A-C07F-44FE-9074-60CC91EB13C5}"/>
    <cellStyle name="Note 2 3 12" xfId="17579" xr:uid="{46FECE91-D757-45F0-8A10-3B4A82D5E274}"/>
    <cellStyle name="Note 2 3 2" xfId="550" xr:uid="{00000000-0005-0000-0000-0000EF200000}"/>
    <cellStyle name="Note 2 3 2 10" xfId="9139" xr:uid="{80DEFACD-7E4E-4243-AC64-78C4493E18C0}"/>
    <cellStyle name="Note 2 3 2 11" xfId="17580" xr:uid="{8A3BA30F-2DB3-4710-BD8E-80DDAF1033D1}"/>
    <cellStyle name="Note 2 3 2 2" xfId="1011" xr:uid="{00000000-0005-0000-0000-0000F0200000}"/>
    <cellStyle name="Note 2 3 2 2 2" xfId="3243" xr:uid="{00000000-0005-0000-0000-0000F1200000}"/>
    <cellStyle name="Note 2 3 2 2 2 2" xfId="7465" xr:uid="{00000000-0005-0000-0000-0000F2200000}"/>
    <cellStyle name="Note 2 3 2 2 2 2 2" xfId="15915" xr:uid="{44C0FFBB-6972-47EB-BB72-65671A899DE9}"/>
    <cellStyle name="Note 2 3 2 2 2 2 3" xfId="24355" xr:uid="{A01FFDA6-1ED6-469C-BC35-4670A65D4234}"/>
    <cellStyle name="Note 2 3 2 2 2 3" xfId="11697" xr:uid="{A39A3566-C21C-41C7-801C-9D8ABF524C2C}"/>
    <cellStyle name="Note 2 3 2 2 2 4" xfId="20138" xr:uid="{55D96F73-3867-4331-A5AF-899569D3714C}"/>
    <cellStyle name="Note 2 3 2 2 3" xfId="5320" xr:uid="{00000000-0005-0000-0000-0000F3200000}"/>
    <cellStyle name="Note 2 3 2 2 3 2" xfId="13770" xr:uid="{592758F1-6E7A-4012-9EA2-64449CFEB0CC}"/>
    <cellStyle name="Note 2 3 2 2 3 3" xfId="22210" xr:uid="{07103AC5-0181-4210-A3B9-1FEBF670DEEB}"/>
    <cellStyle name="Note 2 3 2 2 4" xfId="9552" xr:uid="{E2555367-A109-4718-AF0B-445A6BF53964}"/>
    <cellStyle name="Note 2 3 2 2 5" xfId="17993" xr:uid="{965437E3-0CDC-45E2-AB89-6B2D0981D03D}"/>
    <cellStyle name="Note 2 3 2 3" xfId="1426" xr:uid="{00000000-0005-0000-0000-0000F4200000}"/>
    <cellStyle name="Note 2 3 2 3 2" xfId="3656" xr:uid="{00000000-0005-0000-0000-0000F5200000}"/>
    <cellStyle name="Note 2 3 2 3 2 2" xfId="7878" xr:uid="{00000000-0005-0000-0000-0000F6200000}"/>
    <cellStyle name="Note 2 3 2 3 2 2 2" xfId="16328" xr:uid="{1D435DE3-4A7D-4782-9D5A-1E58AC99C86C}"/>
    <cellStyle name="Note 2 3 2 3 2 2 3" xfId="24768" xr:uid="{8E21E848-3385-4F83-B6E5-31906BA56ECE}"/>
    <cellStyle name="Note 2 3 2 3 2 3" xfId="12110" xr:uid="{13E2CA07-08E5-4186-83F3-9D481E188DE7}"/>
    <cellStyle name="Note 2 3 2 3 2 4" xfId="20551" xr:uid="{517E0CB9-3B48-42D6-879C-FA2E057A4C4B}"/>
    <cellStyle name="Note 2 3 2 3 3" xfId="5733" xr:uid="{00000000-0005-0000-0000-0000F7200000}"/>
    <cellStyle name="Note 2 3 2 3 3 2" xfId="14183" xr:uid="{E89A90E7-AC8B-4F01-9532-AD7AA18FBE4E}"/>
    <cellStyle name="Note 2 3 2 3 3 3" xfId="22623" xr:uid="{03442DBB-7D74-40C5-94EA-2408E5B1D1F5}"/>
    <cellStyle name="Note 2 3 2 3 4" xfId="9965" xr:uid="{546EEF56-141B-482D-A97A-BA8E3A3D2649}"/>
    <cellStyle name="Note 2 3 2 3 5" xfId="18406" xr:uid="{338AC1FE-DC48-489C-B191-30A19A2E3113}"/>
    <cellStyle name="Note 2 3 2 4" xfId="1840" xr:uid="{00000000-0005-0000-0000-0000F8200000}"/>
    <cellStyle name="Note 2 3 2 4 2" xfId="4069" xr:uid="{00000000-0005-0000-0000-0000F9200000}"/>
    <cellStyle name="Note 2 3 2 4 2 2" xfId="8291" xr:uid="{00000000-0005-0000-0000-0000FA200000}"/>
    <cellStyle name="Note 2 3 2 4 2 2 2" xfId="16741" xr:uid="{ADF6AB0C-FA52-4A7F-AC02-D93807B2456B}"/>
    <cellStyle name="Note 2 3 2 4 2 2 3" xfId="25181" xr:uid="{992138F7-756A-4926-A694-40D1AABEE644}"/>
    <cellStyle name="Note 2 3 2 4 2 3" xfId="12523" xr:uid="{E4199E41-89B6-4028-BE65-1CAE2997304C}"/>
    <cellStyle name="Note 2 3 2 4 2 4" xfId="20964" xr:uid="{9EE8B85C-1D22-4C39-9A2D-BF398E26A3F3}"/>
    <cellStyle name="Note 2 3 2 4 3" xfId="6146" xr:uid="{00000000-0005-0000-0000-0000FB200000}"/>
    <cellStyle name="Note 2 3 2 4 3 2" xfId="14596" xr:uid="{5A15E0DA-DBE6-4888-B69D-99A904262221}"/>
    <cellStyle name="Note 2 3 2 4 3 3" xfId="23036" xr:uid="{994A0A91-E35D-4FA7-86D9-7463FF967A56}"/>
    <cellStyle name="Note 2 3 2 4 4" xfId="10378" xr:uid="{0CE4EDB7-B4A6-4710-975F-4CA1267C8237}"/>
    <cellStyle name="Note 2 3 2 4 5" xfId="18819" xr:uid="{88C043E6-7F80-4563-AFDB-EB7D3778636C}"/>
    <cellStyle name="Note 2 3 2 5" xfId="2253" xr:uid="{00000000-0005-0000-0000-0000FC200000}"/>
    <cellStyle name="Note 2 3 2 5 2" xfId="4482" xr:uid="{00000000-0005-0000-0000-0000FD200000}"/>
    <cellStyle name="Note 2 3 2 5 2 2" xfId="8704" xr:uid="{00000000-0005-0000-0000-0000FE200000}"/>
    <cellStyle name="Note 2 3 2 5 2 2 2" xfId="17154" xr:uid="{A2AD5399-F155-4575-AAEA-95888F5D700E}"/>
    <cellStyle name="Note 2 3 2 5 2 2 3" xfId="25594" xr:uid="{1CA11CB1-CC20-4659-8A78-1EF07882027E}"/>
    <cellStyle name="Note 2 3 2 5 2 3" xfId="12936" xr:uid="{2DF503FA-88B1-4C87-9108-A71ECBAA887B}"/>
    <cellStyle name="Note 2 3 2 5 2 4" xfId="21377" xr:uid="{4A17578C-0C7E-4154-80B8-8CDFF7461973}"/>
    <cellStyle name="Note 2 3 2 5 3" xfId="6559" xr:uid="{00000000-0005-0000-0000-0000FF200000}"/>
    <cellStyle name="Note 2 3 2 5 3 2" xfId="15009" xr:uid="{637E23B6-A7C1-488C-9559-DF861B068AEB}"/>
    <cellStyle name="Note 2 3 2 5 3 3" xfId="23449" xr:uid="{7B14868B-32BE-4912-9117-B101B5CD2F24}"/>
    <cellStyle name="Note 2 3 2 5 4" xfId="10791" xr:uid="{73E5E38E-3A21-4FBB-AE90-3A83DB04EDC7}"/>
    <cellStyle name="Note 2 3 2 5 5" xfId="19232" xr:uid="{23582A16-0C34-4199-A1E2-1564A89524A7}"/>
    <cellStyle name="Note 2 3 2 6" xfId="2689" xr:uid="{00000000-0005-0000-0000-000000210000}"/>
    <cellStyle name="Note 2 3 2 6 2" xfId="6972" xr:uid="{00000000-0005-0000-0000-000001210000}"/>
    <cellStyle name="Note 2 3 2 6 2 2" xfId="15422" xr:uid="{BD39CAB7-EEE7-4B64-80BC-BED5C6472D4D}"/>
    <cellStyle name="Note 2 3 2 6 2 3" xfId="23862" xr:uid="{7D375D49-7945-4083-A32D-D7DE4450A4CB}"/>
    <cellStyle name="Note 2 3 2 6 3" xfId="11204" xr:uid="{5C859D3A-5FFE-4E11-AD67-DDE784118BAD}"/>
    <cellStyle name="Note 2 3 2 6 4" xfId="19645" xr:uid="{A09D24BC-E39E-470C-90B8-9449C21DB9ED}"/>
    <cellStyle name="Note 2 3 2 7" xfId="2748" xr:uid="{00000000-0005-0000-0000-000002210000}"/>
    <cellStyle name="Note 2 3 2 8" xfId="2829" xr:uid="{00000000-0005-0000-0000-000003210000}"/>
    <cellStyle name="Note 2 3 2 8 2" xfId="7052" xr:uid="{00000000-0005-0000-0000-000004210000}"/>
    <cellStyle name="Note 2 3 2 8 2 2" xfId="15502" xr:uid="{9A7D8DAF-594C-48A7-9011-3F3035149C36}"/>
    <cellStyle name="Note 2 3 2 8 2 3" xfId="23942" xr:uid="{E74D115C-67DE-44EE-8FD3-16E71CC76F88}"/>
    <cellStyle name="Note 2 3 2 8 3" xfId="11284" xr:uid="{0BF2BBF2-F175-4846-B673-528ED93D870A}"/>
    <cellStyle name="Note 2 3 2 8 4" xfId="19725" xr:uid="{FDB8B8B1-40F8-4D8A-8B31-01FE90700944}"/>
    <cellStyle name="Note 2 3 2 9" xfId="4907" xr:uid="{00000000-0005-0000-0000-000005210000}"/>
    <cellStyle name="Note 2 3 2 9 2" xfId="13357" xr:uid="{DF7F2586-ED17-4748-A9F0-94ED18EAA04D}"/>
    <cellStyle name="Note 2 3 2 9 3" xfId="21797" xr:uid="{E3E591D7-BAD9-4EE9-B880-8AC5DE2A4E7E}"/>
    <cellStyle name="Note 2 3 3" xfId="1010" xr:uid="{00000000-0005-0000-0000-000006210000}"/>
    <cellStyle name="Note 2 3 3 2" xfId="3242" xr:uid="{00000000-0005-0000-0000-000007210000}"/>
    <cellStyle name="Note 2 3 3 2 2" xfId="7464" xr:uid="{00000000-0005-0000-0000-000008210000}"/>
    <cellStyle name="Note 2 3 3 2 2 2" xfId="15914" xr:uid="{82F14721-42DF-4F9E-B0A6-A0348F15B8AA}"/>
    <cellStyle name="Note 2 3 3 2 2 3" xfId="24354" xr:uid="{94F5A39E-801E-4F64-92B6-4CDA4F180E92}"/>
    <cellStyle name="Note 2 3 3 2 3" xfId="11696" xr:uid="{44035E20-EC90-443B-8A64-484D23A2525A}"/>
    <cellStyle name="Note 2 3 3 2 4" xfId="20137" xr:uid="{0E2A4E25-EA54-4442-997C-C7A4551C3710}"/>
    <cellStyle name="Note 2 3 3 3" xfId="5319" xr:uid="{00000000-0005-0000-0000-000009210000}"/>
    <cellStyle name="Note 2 3 3 3 2" xfId="13769" xr:uid="{1C1C278E-7B25-43BC-A8D5-B7EA4BDFEB98}"/>
    <cellStyle name="Note 2 3 3 3 3" xfId="22209" xr:uid="{014F5382-14A8-4B43-B922-82B05A987DEF}"/>
    <cellStyle name="Note 2 3 3 4" xfId="9551" xr:uid="{430AB754-F218-4A96-A03B-E1B337014A02}"/>
    <cellStyle name="Note 2 3 3 5" xfId="17992" xr:uid="{C3928063-29FC-436A-9B44-B56DC928C70D}"/>
    <cellStyle name="Note 2 3 4" xfId="1425" xr:uid="{00000000-0005-0000-0000-00000A210000}"/>
    <cellStyle name="Note 2 3 4 2" xfId="3655" xr:uid="{00000000-0005-0000-0000-00000B210000}"/>
    <cellStyle name="Note 2 3 4 2 2" xfId="7877" xr:uid="{00000000-0005-0000-0000-00000C210000}"/>
    <cellStyle name="Note 2 3 4 2 2 2" xfId="16327" xr:uid="{A670CDC8-D3AD-43E6-967D-DFD98C25C28A}"/>
    <cellStyle name="Note 2 3 4 2 2 3" xfId="24767" xr:uid="{E737A9CF-42BA-430D-860F-2997C2478FE0}"/>
    <cellStyle name="Note 2 3 4 2 3" xfId="12109" xr:uid="{2359BD83-458C-48B7-9239-87C97557364B}"/>
    <cellStyle name="Note 2 3 4 2 4" xfId="20550" xr:uid="{F0D5CECC-485C-4297-924D-4F4D66D1254E}"/>
    <cellStyle name="Note 2 3 4 3" xfId="5732" xr:uid="{00000000-0005-0000-0000-00000D210000}"/>
    <cellStyle name="Note 2 3 4 3 2" xfId="14182" xr:uid="{552FC487-3DE4-4839-9701-16DC65230B39}"/>
    <cellStyle name="Note 2 3 4 3 3" xfId="22622" xr:uid="{FC93A6D4-ECE2-4D54-9723-BF36BB72EB3D}"/>
    <cellStyle name="Note 2 3 4 4" xfId="9964" xr:uid="{DB3676DF-49D8-48D0-B026-9F93ABF17443}"/>
    <cellStyle name="Note 2 3 4 5" xfId="18405" xr:uid="{6A87CC16-3E58-43C6-A1D0-3CF248D773BB}"/>
    <cellStyle name="Note 2 3 5" xfId="1839" xr:uid="{00000000-0005-0000-0000-00000E210000}"/>
    <cellStyle name="Note 2 3 5 2" xfId="4068" xr:uid="{00000000-0005-0000-0000-00000F210000}"/>
    <cellStyle name="Note 2 3 5 2 2" xfId="8290" xr:uid="{00000000-0005-0000-0000-000010210000}"/>
    <cellStyle name="Note 2 3 5 2 2 2" xfId="16740" xr:uid="{614660E8-30E7-4263-8C7B-C5152F02504A}"/>
    <cellStyle name="Note 2 3 5 2 2 3" xfId="25180" xr:uid="{026F9008-7BFC-4E60-8D8D-DAC3E30465CE}"/>
    <cellStyle name="Note 2 3 5 2 3" xfId="12522" xr:uid="{389BC892-99D2-488D-A60B-604277190C79}"/>
    <cellStyle name="Note 2 3 5 2 4" xfId="20963" xr:uid="{E6EC2D67-6436-4F7C-A3F7-EEC19120A4E9}"/>
    <cellStyle name="Note 2 3 5 3" xfId="6145" xr:uid="{00000000-0005-0000-0000-000011210000}"/>
    <cellStyle name="Note 2 3 5 3 2" xfId="14595" xr:uid="{488A259F-F05E-4427-BBCE-419E8CEA3B1A}"/>
    <cellStyle name="Note 2 3 5 3 3" xfId="23035" xr:uid="{2410CAC5-EA00-462D-8880-F9F442D196DE}"/>
    <cellStyle name="Note 2 3 5 4" xfId="10377" xr:uid="{4739B225-E0A1-41C3-90F8-A8FDD0C8A8C6}"/>
    <cellStyle name="Note 2 3 5 5" xfId="18818" xr:uid="{EA022675-7737-4D73-840F-AEBCAFEDD5E4}"/>
    <cellStyle name="Note 2 3 6" xfId="2252" xr:uid="{00000000-0005-0000-0000-000012210000}"/>
    <cellStyle name="Note 2 3 6 2" xfId="4481" xr:uid="{00000000-0005-0000-0000-000013210000}"/>
    <cellStyle name="Note 2 3 6 2 2" xfId="8703" xr:uid="{00000000-0005-0000-0000-000014210000}"/>
    <cellStyle name="Note 2 3 6 2 2 2" xfId="17153" xr:uid="{48ACE654-F6A4-499F-82D7-06DEA38651B5}"/>
    <cellStyle name="Note 2 3 6 2 2 3" xfId="25593" xr:uid="{B83964C8-F8AF-49FD-BB19-8A09690BB0D6}"/>
    <cellStyle name="Note 2 3 6 2 3" xfId="12935" xr:uid="{96DFB272-E295-415D-9C8E-F18F3246B8F1}"/>
    <cellStyle name="Note 2 3 6 2 4" xfId="21376" xr:uid="{5D05868E-4D3A-4369-901B-6C8FE9BDDCA8}"/>
    <cellStyle name="Note 2 3 6 3" xfId="6558" xr:uid="{00000000-0005-0000-0000-000015210000}"/>
    <cellStyle name="Note 2 3 6 3 2" xfId="15008" xr:uid="{C041478A-EF0A-4BFB-A6AF-16561C598808}"/>
    <cellStyle name="Note 2 3 6 3 3" xfId="23448" xr:uid="{C5BB21FD-6A87-4F74-B476-CC4B3FDAFA57}"/>
    <cellStyle name="Note 2 3 6 4" xfId="10790" xr:uid="{981AB796-872A-4065-81BD-77E6A153EFE5}"/>
    <cellStyle name="Note 2 3 6 5" xfId="19231" xr:uid="{551EAEC4-439C-4011-8D1A-B22D86A5C013}"/>
    <cellStyle name="Note 2 3 7" xfId="2688" xr:uid="{00000000-0005-0000-0000-000016210000}"/>
    <cellStyle name="Note 2 3 7 2" xfId="6971" xr:uid="{00000000-0005-0000-0000-000017210000}"/>
    <cellStyle name="Note 2 3 7 2 2" xfId="15421" xr:uid="{A42B06DD-7B3F-4A7A-8503-3F3285858B85}"/>
    <cellStyle name="Note 2 3 7 2 3" xfId="23861" xr:uid="{3700CF74-C6DB-48E7-A061-213E0445F8CE}"/>
    <cellStyle name="Note 2 3 7 3" xfId="11203" xr:uid="{94608596-0382-414C-A22F-978775AFB01D}"/>
    <cellStyle name="Note 2 3 7 4" xfId="19644" xr:uid="{61FED7A9-62A3-47D6-91F3-20397FB9D8D9}"/>
    <cellStyle name="Note 2 3 8" xfId="2747" xr:uid="{00000000-0005-0000-0000-000018210000}"/>
    <cellStyle name="Note 2 3 9" xfId="2828" xr:uid="{00000000-0005-0000-0000-000019210000}"/>
    <cellStyle name="Note 2 3 9 2" xfId="7051" xr:uid="{00000000-0005-0000-0000-00001A210000}"/>
    <cellStyle name="Note 2 3 9 2 2" xfId="15501" xr:uid="{68DABF4E-8973-41A3-9D70-A868F9710E60}"/>
    <cellStyle name="Note 2 3 9 2 3" xfId="23941" xr:uid="{D9020A30-C0F1-4754-9112-CD14CE9BD48C}"/>
    <cellStyle name="Note 2 3 9 3" xfId="11283" xr:uid="{6F56E53A-B551-49D1-8642-C5B904C499D2}"/>
    <cellStyle name="Note 2 3 9 4" xfId="19724" xr:uid="{ED045D80-C404-402C-B242-3873055BC8E3}"/>
    <cellStyle name="Note 2 4" xfId="551" xr:uid="{00000000-0005-0000-0000-00001B210000}"/>
    <cellStyle name="Note 2 4 10" xfId="9140" xr:uid="{8EFD2707-4335-41B3-9CAB-5A61A5E16BC5}"/>
    <cellStyle name="Note 2 4 11" xfId="17581" xr:uid="{6B90F974-E70B-4AF2-8765-111CBEFC470D}"/>
    <cellStyle name="Note 2 4 2" xfId="1012" xr:uid="{00000000-0005-0000-0000-00001C210000}"/>
    <cellStyle name="Note 2 4 2 2" xfId="3244" xr:uid="{00000000-0005-0000-0000-00001D210000}"/>
    <cellStyle name="Note 2 4 2 2 2" xfId="7466" xr:uid="{00000000-0005-0000-0000-00001E210000}"/>
    <cellStyle name="Note 2 4 2 2 2 2" xfId="15916" xr:uid="{0ECC18DE-B20C-4E01-963C-8D1C21D7E905}"/>
    <cellStyle name="Note 2 4 2 2 2 3" xfId="24356" xr:uid="{2EB36DD4-9794-459A-ACD0-E315AE337B25}"/>
    <cellStyle name="Note 2 4 2 2 3" xfId="11698" xr:uid="{6070115E-F6FF-4C97-8B25-0D2896067839}"/>
    <cellStyle name="Note 2 4 2 2 4" xfId="20139" xr:uid="{10747968-66D0-4014-870C-81A32BBB5CD0}"/>
    <cellStyle name="Note 2 4 2 3" xfId="5321" xr:uid="{00000000-0005-0000-0000-00001F210000}"/>
    <cellStyle name="Note 2 4 2 3 2" xfId="13771" xr:uid="{2780C104-3F37-49F1-9721-0729CD8147E4}"/>
    <cellStyle name="Note 2 4 2 3 3" xfId="22211" xr:uid="{75CE72F1-B1B9-41F2-A898-42B7DDECC40A}"/>
    <cellStyle name="Note 2 4 2 4" xfId="9553" xr:uid="{EB2BE387-B955-4573-BCA0-CED9FC363A39}"/>
    <cellStyle name="Note 2 4 2 5" xfId="17994" xr:uid="{66947CAE-C86F-45CF-BD57-387122BD5E35}"/>
    <cellStyle name="Note 2 4 3" xfId="1427" xr:uid="{00000000-0005-0000-0000-000020210000}"/>
    <cellStyle name="Note 2 4 3 2" xfId="3657" xr:uid="{00000000-0005-0000-0000-000021210000}"/>
    <cellStyle name="Note 2 4 3 2 2" xfId="7879" xr:uid="{00000000-0005-0000-0000-000022210000}"/>
    <cellStyle name="Note 2 4 3 2 2 2" xfId="16329" xr:uid="{FC876DCA-84C3-4231-81CF-CA007961EE0D}"/>
    <cellStyle name="Note 2 4 3 2 2 3" xfId="24769" xr:uid="{D947812C-E2EC-4D32-9A5C-7692A023876F}"/>
    <cellStyle name="Note 2 4 3 2 3" xfId="12111" xr:uid="{8C1B7C3D-63E1-465F-BC02-8F1F07B42389}"/>
    <cellStyle name="Note 2 4 3 2 4" xfId="20552" xr:uid="{EE305AB8-83CF-4423-9EB2-9EB4F9F4061C}"/>
    <cellStyle name="Note 2 4 3 3" xfId="5734" xr:uid="{00000000-0005-0000-0000-000023210000}"/>
    <cellStyle name="Note 2 4 3 3 2" xfId="14184" xr:uid="{031BFD30-92B1-4D66-B513-96ACF4E6A649}"/>
    <cellStyle name="Note 2 4 3 3 3" xfId="22624" xr:uid="{86315212-B1FE-4FAE-B860-50060B7D109C}"/>
    <cellStyle name="Note 2 4 3 4" xfId="9966" xr:uid="{7EB33AAD-7EBF-489B-AD6D-037947543B3C}"/>
    <cellStyle name="Note 2 4 3 5" xfId="18407" xr:uid="{01E2D281-2754-4A44-96D1-6A53355C7342}"/>
    <cellStyle name="Note 2 4 4" xfId="1841" xr:uid="{00000000-0005-0000-0000-000024210000}"/>
    <cellStyle name="Note 2 4 4 2" xfId="4070" xr:uid="{00000000-0005-0000-0000-000025210000}"/>
    <cellStyle name="Note 2 4 4 2 2" xfId="8292" xr:uid="{00000000-0005-0000-0000-000026210000}"/>
    <cellStyle name="Note 2 4 4 2 2 2" xfId="16742" xr:uid="{BDC02553-9FC2-49AB-A5CF-75BAA5B68EBD}"/>
    <cellStyle name="Note 2 4 4 2 2 3" xfId="25182" xr:uid="{1C212381-3CE7-4C05-B67A-B3190BD8BAC9}"/>
    <cellStyle name="Note 2 4 4 2 3" xfId="12524" xr:uid="{E7D36864-D1FA-482C-9EDA-DE1BE5170B03}"/>
    <cellStyle name="Note 2 4 4 2 4" xfId="20965" xr:uid="{7ACA6E1B-E93A-4010-8EA2-6A972719A294}"/>
    <cellStyle name="Note 2 4 4 3" xfId="6147" xr:uid="{00000000-0005-0000-0000-000027210000}"/>
    <cellStyle name="Note 2 4 4 3 2" xfId="14597" xr:uid="{1697A7C1-9019-4B77-9D9B-8476D419C61C}"/>
    <cellStyle name="Note 2 4 4 3 3" xfId="23037" xr:uid="{07F67C69-C8F3-4186-ACAE-9D9AC86A9005}"/>
    <cellStyle name="Note 2 4 4 4" xfId="10379" xr:uid="{AF88E03B-0C53-4BCD-8A3D-D7FCCC5B73C5}"/>
    <cellStyle name="Note 2 4 4 5" xfId="18820" xr:uid="{253FF175-154A-40F9-8E52-31C34EB5C42E}"/>
    <cellStyle name="Note 2 4 5" xfId="2254" xr:uid="{00000000-0005-0000-0000-000028210000}"/>
    <cellStyle name="Note 2 4 5 2" xfId="4483" xr:uid="{00000000-0005-0000-0000-000029210000}"/>
    <cellStyle name="Note 2 4 5 2 2" xfId="8705" xr:uid="{00000000-0005-0000-0000-00002A210000}"/>
    <cellStyle name="Note 2 4 5 2 2 2" xfId="17155" xr:uid="{88F2A149-2E08-462C-8234-69895985DD57}"/>
    <cellStyle name="Note 2 4 5 2 2 3" xfId="25595" xr:uid="{773CDE7E-9D2B-4086-A542-D6064DF4517A}"/>
    <cellStyle name="Note 2 4 5 2 3" xfId="12937" xr:uid="{1C495D96-58A4-4FDB-89CC-8DCA25F5407A}"/>
    <cellStyle name="Note 2 4 5 2 4" xfId="21378" xr:uid="{242C0556-AAB1-482A-9122-3CD772F39E8C}"/>
    <cellStyle name="Note 2 4 5 3" xfId="6560" xr:uid="{00000000-0005-0000-0000-00002B210000}"/>
    <cellStyle name="Note 2 4 5 3 2" xfId="15010" xr:uid="{48F976E2-E86D-47C7-BF22-6FAFEA79B510}"/>
    <cellStyle name="Note 2 4 5 3 3" xfId="23450" xr:uid="{17896DEC-7089-43FF-97AD-520801E99E47}"/>
    <cellStyle name="Note 2 4 5 4" xfId="10792" xr:uid="{1E9CA2B0-27CA-44D1-826F-E390C153B0B6}"/>
    <cellStyle name="Note 2 4 5 5" xfId="19233" xr:uid="{5F5771C3-AE5D-4288-9D33-13B5774C605C}"/>
    <cellStyle name="Note 2 4 6" xfId="2690" xr:uid="{00000000-0005-0000-0000-00002C210000}"/>
    <cellStyle name="Note 2 4 6 2" xfId="6973" xr:uid="{00000000-0005-0000-0000-00002D210000}"/>
    <cellStyle name="Note 2 4 6 2 2" xfId="15423" xr:uid="{38218DD7-E74E-49F2-B0BB-376DF0FB71C9}"/>
    <cellStyle name="Note 2 4 6 2 3" xfId="23863" xr:uid="{B9A05F5C-E9C3-4346-B953-9C9AB4824CB8}"/>
    <cellStyle name="Note 2 4 6 3" xfId="11205" xr:uid="{7FE10995-0C54-4ABC-932F-4659B6E526B5}"/>
    <cellStyle name="Note 2 4 6 4" xfId="19646" xr:uid="{97719273-7242-4C52-BAB8-1465FF18FD97}"/>
    <cellStyle name="Note 2 4 7" xfId="2749" xr:uid="{00000000-0005-0000-0000-00002E210000}"/>
    <cellStyle name="Note 2 4 8" xfId="2830" xr:uid="{00000000-0005-0000-0000-00002F210000}"/>
    <cellStyle name="Note 2 4 8 2" xfId="7053" xr:uid="{00000000-0005-0000-0000-000030210000}"/>
    <cellStyle name="Note 2 4 8 2 2" xfId="15503" xr:uid="{591CB2C0-9C7A-49C1-8778-F38A8269B507}"/>
    <cellStyle name="Note 2 4 8 2 3" xfId="23943" xr:uid="{3051AC5E-8B2B-44FC-A46D-B09A9C9711B4}"/>
    <cellStyle name="Note 2 4 8 3" xfId="11285" xr:uid="{FA978643-3B9C-47E8-B7E4-8D79559FF627}"/>
    <cellStyle name="Note 2 4 8 4" xfId="19726" xr:uid="{620933B7-3394-41C4-AA52-673167753B8B}"/>
    <cellStyle name="Note 2 4 9" xfId="4908" xr:uid="{00000000-0005-0000-0000-000031210000}"/>
    <cellStyle name="Note 2 4 9 2" xfId="13358" xr:uid="{05ACB01E-DC45-448E-931C-A27D987892EC}"/>
    <cellStyle name="Note 2 4 9 3" xfId="21798" xr:uid="{98F6B49C-B286-4DA5-B98E-CD7F20B9C531}"/>
    <cellStyle name="Note 2 5" xfId="552" xr:uid="{00000000-0005-0000-0000-000032210000}"/>
    <cellStyle name="Note 2 5 10" xfId="9141" xr:uid="{3348F71A-EC50-4FCD-8055-7CA94E4483A6}"/>
    <cellStyle name="Note 2 5 11" xfId="17582" xr:uid="{CF953E37-395E-4AF8-BD84-67537B35ED40}"/>
    <cellStyle name="Note 2 5 2" xfId="1013" xr:uid="{00000000-0005-0000-0000-000033210000}"/>
    <cellStyle name="Note 2 5 2 2" xfId="3245" xr:uid="{00000000-0005-0000-0000-000034210000}"/>
    <cellStyle name="Note 2 5 2 2 2" xfId="7467" xr:uid="{00000000-0005-0000-0000-000035210000}"/>
    <cellStyle name="Note 2 5 2 2 2 2" xfId="15917" xr:uid="{76B2A47E-D7D2-4049-BD4E-90E76286E8FF}"/>
    <cellStyle name="Note 2 5 2 2 2 3" xfId="24357" xr:uid="{AA899CF8-9DB8-405E-8F95-F343B2F3720C}"/>
    <cellStyle name="Note 2 5 2 2 3" xfId="11699" xr:uid="{C7B0C4E0-0607-4273-8DFB-F0454604123E}"/>
    <cellStyle name="Note 2 5 2 2 4" xfId="20140" xr:uid="{B4B72F76-B31A-4F75-BD57-DC73C6F50CA8}"/>
    <cellStyle name="Note 2 5 2 3" xfId="5322" xr:uid="{00000000-0005-0000-0000-000036210000}"/>
    <cellStyle name="Note 2 5 2 3 2" xfId="13772" xr:uid="{0B9C336B-E140-49AE-BC47-91F6E9FCCB8D}"/>
    <cellStyle name="Note 2 5 2 3 3" xfId="22212" xr:uid="{D430DFBF-EA33-4983-A38A-50B3DC089D79}"/>
    <cellStyle name="Note 2 5 2 4" xfId="9554" xr:uid="{3C15007B-0021-458F-B920-51B9D76B2684}"/>
    <cellStyle name="Note 2 5 2 5" xfId="17995" xr:uid="{D9009D27-F3E9-4CC9-A9C9-F28F722F4FE5}"/>
    <cellStyle name="Note 2 5 3" xfId="1428" xr:uid="{00000000-0005-0000-0000-000037210000}"/>
    <cellStyle name="Note 2 5 3 2" xfId="3658" xr:uid="{00000000-0005-0000-0000-000038210000}"/>
    <cellStyle name="Note 2 5 3 2 2" xfId="7880" xr:uid="{00000000-0005-0000-0000-000039210000}"/>
    <cellStyle name="Note 2 5 3 2 2 2" xfId="16330" xr:uid="{C2DF53C1-2F86-44D6-A0B1-A8B108009BC1}"/>
    <cellStyle name="Note 2 5 3 2 2 3" xfId="24770" xr:uid="{D34E1020-858E-462C-B475-DF881B055779}"/>
    <cellStyle name="Note 2 5 3 2 3" xfId="12112" xr:uid="{9AB2AECA-692C-450B-9089-FCF0525C7BB3}"/>
    <cellStyle name="Note 2 5 3 2 4" xfId="20553" xr:uid="{C4508C70-C8F4-4C97-8EB7-69BEDB423C9A}"/>
    <cellStyle name="Note 2 5 3 3" xfId="5735" xr:uid="{00000000-0005-0000-0000-00003A210000}"/>
    <cellStyle name="Note 2 5 3 3 2" xfId="14185" xr:uid="{3B85D642-BB26-41F1-9713-E34432653D2A}"/>
    <cellStyle name="Note 2 5 3 3 3" xfId="22625" xr:uid="{2BC11A96-12FF-4B15-BBF3-70E24EAF303B}"/>
    <cellStyle name="Note 2 5 3 4" xfId="9967" xr:uid="{99005A07-DD8C-4E93-BC7A-3311BD1D6C37}"/>
    <cellStyle name="Note 2 5 3 5" xfId="18408" xr:uid="{CE3199FF-9DEE-4CF3-8EDF-D6C3B5498896}"/>
    <cellStyle name="Note 2 5 4" xfId="1842" xr:uid="{00000000-0005-0000-0000-00003B210000}"/>
    <cellStyle name="Note 2 5 4 2" xfId="4071" xr:uid="{00000000-0005-0000-0000-00003C210000}"/>
    <cellStyle name="Note 2 5 4 2 2" xfId="8293" xr:uid="{00000000-0005-0000-0000-00003D210000}"/>
    <cellStyle name="Note 2 5 4 2 2 2" xfId="16743" xr:uid="{2F94D42B-6A2D-4DB5-B828-3CB789800720}"/>
    <cellStyle name="Note 2 5 4 2 2 3" xfId="25183" xr:uid="{80B30264-39FB-4B3E-99FA-81ABD8D32AC1}"/>
    <cellStyle name="Note 2 5 4 2 3" xfId="12525" xr:uid="{F07AC74D-0ED0-4035-95F8-9C6E698E62E3}"/>
    <cellStyle name="Note 2 5 4 2 4" xfId="20966" xr:uid="{E258DDB4-2ECF-4009-88E6-717027E4808B}"/>
    <cellStyle name="Note 2 5 4 3" xfId="6148" xr:uid="{00000000-0005-0000-0000-00003E210000}"/>
    <cellStyle name="Note 2 5 4 3 2" xfId="14598" xr:uid="{FE811F74-1CE6-41E1-B4F4-3B4E82C0731B}"/>
    <cellStyle name="Note 2 5 4 3 3" xfId="23038" xr:uid="{849D9D5A-7CD3-4F94-9B3C-DF841ED5D6FE}"/>
    <cellStyle name="Note 2 5 4 4" xfId="10380" xr:uid="{94243B04-B3AA-4773-BAF6-493FB395FDA7}"/>
    <cellStyle name="Note 2 5 4 5" xfId="18821" xr:uid="{F36AE795-6F38-47A4-9F12-74265DE38892}"/>
    <cellStyle name="Note 2 5 5" xfId="2255" xr:uid="{00000000-0005-0000-0000-00003F210000}"/>
    <cellStyle name="Note 2 5 5 2" xfId="4484" xr:uid="{00000000-0005-0000-0000-000040210000}"/>
    <cellStyle name="Note 2 5 5 2 2" xfId="8706" xr:uid="{00000000-0005-0000-0000-000041210000}"/>
    <cellStyle name="Note 2 5 5 2 2 2" xfId="17156" xr:uid="{6E653ADF-1B49-4A4D-8A58-9E696F2C7527}"/>
    <cellStyle name="Note 2 5 5 2 2 3" xfId="25596" xr:uid="{84A50099-15FC-4810-A8D2-F770856A2939}"/>
    <cellStyle name="Note 2 5 5 2 3" xfId="12938" xr:uid="{44848FE2-68F9-4736-BA41-EA5FAE88D7CF}"/>
    <cellStyle name="Note 2 5 5 2 4" xfId="21379" xr:uid="{AA80D880-5573-4CCE-A436-A649323F5F7D}"/>
    <cellStyle name="Note 2 5 5 3" xfId="6561" xr:uid="{00000000-0005-0000-0000-000042210000}"/>
    <cellStyle name="Note 2 5 5 3 2" xfId="15011" xr:uid="{409366AC-5BFE-459C-B319-1F04D816F28F}"/>
    <cellStyle name="Note 2 5 5 3 3" xfId="23451" xr:uid="{F093C9E2-F669-4406-A4D4-7831574AAF0D}"/>
    <cellStyle name="Note 2 5 5 4" xfId="10793" xr:uid="{8C0AAE2A-9DC6-4624-A7F6-7329A582D78D}"/>
    <cellStyle name="Note 2 5 5 5" xfId="19234" xr:uid="{45F28EFE-0C66-4FF0-A535-070216CC88A2}"/>
    <cellStyle name="Note 2 5 6" xfId="2691" xr:uid="{00000000-0005-0000-0000-000043210000}"/>
    <cellStyle name="Note 2 5 6 2" xfId="6974" xr:uid="{00000000-0005-0000-0000-000044210000}"/>
    <cellStyle name="Note 2 5 6 2 2" xfId="15424" xr:uid="{62889EF2-7C04-4FF3-B03F-75CB8431341A}"/>
    <cellStyle name="Note 2 5 6 2 3" xfId="23864" xr:uid="{7F6AE24A-A890-4469-AC29-8E2DF4E5503A}"/>
    <cellStyle name="Note 2 5 6 3" xfId="11206" xr:uid="{3997A46F-9115-4E26-9C6A-A15443E0810B}"/>
    <cellStyle name="Note 2 5 6 4" xfId="19647" xr:uid="{69237EF0-9020-46C1-8D0A-E93A5BEAE9DB}"/>
    <cellStyle name="Note 2 5 7" xfId="2750" xr:uid="{00000000-0005-0000-0000-000045210000}"/>
    <cellStyle name="Note 2 5 8" xfId="2831" xr:uid="{00000000-0005-0000-0000-000046210000}"/>
    <cellStyle name="Note 2 5 8 2" xfId="7054" xr:uid="{00000000-0005-0000-0000-000047210000}"/>
    <cellStyle name="Note 2 5 8 2 2" xfId="15504" xr:uid="{AB049372-2486-4B3E-8E0D-C6445387C6EF}"/>
    <cellStyle name="Note 2 5 8 2 3" xfId="23944" xr:uid="{7586FB2A-3EEC-44E4-92FB-55D2B3DE902D}"/>
    <cellStyle name="Note 2 5 8 3" xfId="11286" xr:uid="{06AC2F6F-1F3C-4F05-9C25-CA345C118FA2}"/>
    <cellStyle name="Note 2 5 8 4" xfId="19727" xr:uid="{56E02C4B-6A57-46AA-BC53-9D785AD8D046}"/>
    <cellStyle name="Note 2 5 9" xfId="4909" xr:uid="{00000000-0005-0000-0000-000048210000}"/>
    <cellStyle name="Note 2 5 9 2" xfId="13359" xr:uid="{82CC416C-3482-43E7-988E-99C21478EFEA}"/>
    <cellStyle name="Note 2 5 9 3" xfId="21799" xr:uid="{F5083C39-5579-429C-9761-491EC8EFC12A}"/>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33A64F3B-9748-46EE-AA31-FEACE4D712EE}"/>
    <cellStyle name="Note 3 2 10 2 3" xfId="23945" xr:uid="{CE67774E-D825-460B-BDD0-C66251DD3510}"/>
    <cellStyle name="Note 3 2 10 3" xfId="11287" xr:uid="{4E84AE47-8DE4-4476-AC39-92017065E65C}"/>
    <cellStyle name="Note 3 2 10 4" xfId="19728" xr:uid="{F212B15E-7D96-4E38-A343-FA71F1410B02}"/>
    <cellStyle name="Note 3 2 11" xfId="4910" xr:uid="{00000000-0005-0000-0000-00004D210000}"/>
    <cellStyle name="Note 3 2 11 2" xfId="13360" xr:uid="{B8DDDCCF-EE8B-47A3-9732-A2B02CE40DA3}"/>
    <cellStyle name="Note 3 2 11 3" xfId="21800" xr:uid="{BE24F5BC-3D26-4683-97B5-D0115DE6F758}"/>
    <cellStyle name="Note 3 2 12" xfId="9142" xr:uid="{C58DBE55-1D22-4746-97D7-CC5BC05D5DDB}"/>
    <cellStyle name="Note 3 2 13" xfId="17583" xr:uid="{9925A6B9-0D5D-4E75-AD59-05FDFFCC8DAA}"/>
    <cellStyle name="Note 3 2 2" xfId="555" xr:uid="{00000000-0005-0000-0000-00004E210000}"/>
    <cellStyle name="Note 3 2 2 10" xfId="4911" xr:uid="{00000000-0005-0000-0000-00004F210000}"/>
    <cellStyle name="Note 3 2 2 10 2" xfId="13361" xr:uid="{20B9D4C8-EFC3-4F66-83A6-0D55DF163D87}"/>
    <cellStyle name="Note 3 2 2 10 3" xfId="21801" xr:uid="{84BBD1FC-6972-42FE-8E8D-2D69DFD3C7C1}"/>
    <cellStyle name="Note 3 2 2 11" xfId="9143" xr:uid="{27E4F51C-5AC0-4391-8EED-C88917B058C9}"/>
    <cellStyle name="Note 3 2 2 12" xfId="17584" xr:uid="{46C5C773-3B0E-4F4F-982E-0577E0F61F75}"/>
    <cellStyle name="Note 3 2 2 2" xfId="556" xr:uid="{00000000-0005-0000-0000-000050210000}"/>
    <cellStyle name="Note 3 2 2 2 10" xfId="9144" xr:uid="{5F2DEA2E-F366-4CEC-B884-27D159710326}"/>
    <cellStyle name="Note 3 2 2 2 11" xfId="17585" xr:uid="{AC2F27B7-268E-4F2E-8602-B7F4E50AB650}"/>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3885AAB3-1AB2-43E7-AF0F-4DE1749AE60E}"/>
    <cellStyle name="Note 3 2 2 2 2 2 2 3" xfId="24360" xr:uid="{B6A46744-B6AD-4EDC-A6E6-F55A9BF67E5C}"/>
    <cellStyle name="Note 3 2 2 2 2 2 3" xfId="11702" xr:uid="{3969755F-D671-4EF0-9DE3-4A60A8191C97}"/>
    <cellStyle name="Note 3 2 2 2 2 2 4" xfId="20143" xr:uid="{359BB543-5FC6-4071-8156-A0BE8B241C57}"/>
    <cellStyle name="Note 3 2 2 2 2 3" xfId="5325" xr:uid="{00000000-0005-0000-0000-000054210000}"/>
    <cellStyle name="Note 3 2 2 2 2 3 2" xfId="13775" xr:uid="{01F9CBF4-5739-46E0-B999-58CCB5451E6D}"/>
    <cellStyle name="Note 3 2 2 2 2 3 3" xfId="22215" xr:uid="{C0795C8C-A3FC-4751-804D-9517845F08EA}"/>
    <cellStyle name="Note 3 2 2 2 2 4" xfId="9557" xr:uid="{016D3A7D-F03A-473A-928C-28913BD1F0E8}"/>
    <cellStyle name="Note 3 2 2 2 2 5" xfId="17998" xr:uid="{B04E7915-E854-445A-89EE-5119BBB897BE}"/>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4B6844DE-72E8-4576-9799-163A34BD3450}"/>
    <cellStyle name="Note 3 2 2 2 3 2 2 3" xfId="24773" xr:uid="{8AB43B87-53A6-4DB7-8C57-05BF57594DCC}"/>
    <cellStyle name="Note 3 2 2 2 3 2 3" xfId="12115" xr:uid="{252A7065-4CB2-457E-96FB-0F46C6B85D39}"/>
    <cellStyle name="Note 3 2 2 2 3 2 4" xfId="20556" xr:uid="{3A8E824F-80BF-40EB-9831-5A06B822315A}"/>
    <cellStyle name="Note 3 2 2 2 3 3" xfId="5738" xr:uid="{00000000-0005-0000-0000-000058210000}"/>
    <cellStyle name="Note 3 2 2 2 3 3 2" xfId="14188" xr:uid="{7F55CBC6-3E85-43F1-8229-8DCDC92C3507}"/>
    <cellStyle name="Note 3 2 2 2 3 3 3" xfId="22628" xr:uid="{699D746D-830C-4473-8255-DE98178113E9}"/>
    <cellStyle name="Note 3 2 2 2 3 4" xfId="9970" xr:uid="{D9C05011-2152-4629-BC98-42803DFD66F9}"/>
    <cellStyle name="Note 3 2 2 2 3 5" xfId="18411" xr:uid="{D04B5AE8-03E8-41C5-AD3C-9158248692AE}"/>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AFC38C37-41F6-4550-93CD-75A3A174AF16}"/>
    <cellStyle name="Note 3 2 2 2 4 2 2 3" xfId="25186" xr:uid="{3789BD09-0377-4E34-9373-7077C15B408B}"/>
    <cellStyle name="Note 3 2 2 2 4 2 3" xfId="12528" xr:uid="{1B358FA9-7CC5-42C8-BCC6-EB030554BFBB}"/>
    <cellStyle name="Note 3 2 2 2 4 2 4" xfId="20969" xr:uid="{3119FA1F-1114-41D9-82B0-E8F5B346ACFB}"/>
    <cellStyle name="Note 3 2 2 2 4 3" xfId="6151" xr:uid="{00000000-0005-0000-0000-00005C210000}"/>
    <cellStyle name="Note 3 2 2 2 4 3 2" xfId="14601" xr:uid="{134CFAC6-C497-4ED4-A4FB-FE37CC2544D6}"/>
    <cellStyle name="Note 3 2 2 2 4 3 3" xfId="23041" xr:uid="{125CF92F-71A8-4973-A457-F6778B9F9B32}"/>
    <cellStyle name="Note 3 2 2 2 4 4" xfId="10383" xr:uid="{74B9A6F1-A265-4273-91DF-A8C31D200793}"/>
    <cellStyle name="Note 3 2 2 2 4 5" xfId="18824" xr:uid="{F0FB0F70-4A4B-469B-82A1-AD706053750A}"/>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71AD6B4A-EC29-4AB2-AE8A-C5B16786FE7E}"/>
    <cellStyle name="Note 3 2 2 2 5 2 2 3" xfId="25599" xr:uid="{D97B18F4-B951-481E-902E-33CF5FBB1332}"/>
    <cellStyle name="Note 3 2 2 2 5 2 3" xfId="12941" xr:uid="{FF6A4DFD-88EB-4060-95CB-54B9F27F2985}"/>
    <cellStyle name="Note 3 2 2 2 5 2 4" xfId="21382" xr:uid="{1C267322-C94B-4EF9-A708-85013A15F970}"/>
    <cellStyle name="Note 3 2 2 2 5 3" xfId="6564" xr:uid="{00000000-0005-0000-0000-000060210000}"/>
    <cellStyle name="Note 3 2 2 2 5 3 2" xfId="15014" xr:uid="{B7950293-AFFB-47FB-BC43-231B5A40E685}"/>
    <cellStyle name="Note 3 2 2 2 5 3 3" xfId="23454" xr:uid="{DAC1E9A0-FB07-43BD-AFCA-1315FDB38BFD}"/>
    <cellStyle name="Note 3 2 2 2 5 4" xfId="10796" xr:uid="{C55212FC-12C1-4C91-A30B-56FDBF9E557C}"/>
    <cellStyle name="Note 3 2 2 2 5 5" xfId="19237" xr:uid="{D3B60029-2A37-4E27-B563-D3D0BA885476}"/>
    <cellStyle name="Note 3 2 2 2 6" xfId="2694" xr:uid="{00000000-0005-0000-0000-000061210000}"/>
    <cellStyle name="Note 3 2 2 2 6 2" xfId="6977" xr:uid="{00000000-0005-0000-0000-000062210000}"/>
    <cellStyle name="Note 3 2 2 2 6 2 2" xfId="15427" xr:uid="{5C723ED1-03C0-4365-93CE-71A109E9AC77}"/>
    <cellStyle name="Note 3 2 2 2 6 2 3" xfId="23867" xr:uid="{A08AB345-16E9-47B8-90AC-04F4D72B90D7}"/>
    <cellStyle name="Note 3 2 2 2 6 3" xfId="11209" xr:uid="{9D92DEFD-6064-4101-93B2-A26DD9B0EBD7}"/>
    <cellStyle name="Note 3 2 2 2 6 4" xfId="19650" xr:uid="{7C0C1214-3919-4DCC-8DAA-B40FA1B72066}"/>
    <cellStyle name="Note 3 2 2 2 7" xfId="2753" xr:uid="{00000000-0005-0000-0000-000063210000}"/>
    <cellStyle name="Note 3 2 2 2 8" xfId="2834" xr:uid="{00000000-0005-0000-0000-000064210000}"/>
    <cellStyle name="Note 3 2 2 2 8 2" xfId="7057" xr:uid="{00000000-0005-0000-0000-000065210000}"/>
    <cellStyle name="Note 3 2 2 2 8 2 2" xfId="15507" xr:uid="{D105BE9A-4789-43C5-81E2-0E3952586EB7}"/>
    <cellStyle name="Note 3 2 2 2 8 2 3" xfId="23947" xr:uid="{4E2AD280-AF7C-4C72-A976-1B28257BEE9A}"/>
    <cellStyle name="Note 3 2 2 2 8 3" xfId="11289" xr:uid="{98936311-857A-442C-987C-2855BC44404B}"/>
    <cellStyle name="Note 3 2 2 2 8 4" xfId="19730" xr:uid="{030FAA95-1F07-4C67-A39B-57DF960159D7}"/>
    <cellStyle name="Note 3 2 2 2 9" xfId="4912" xr:uid="{00000000-0005-0000-0000-000066210000}"/>
    <cellStyle name="Note 3 2 2 2 9 2" xfId="13362" xr:uid="{51313D32-ED5E-4730-B4C3-C1596FAF96EE}"/>
    <cellStyle name="Note 3 2 2 2 9 3" xfId="21802" xr:uid="{A028580A-29FD-44E3-A073-25C9481D496C}"/>
    <cellStyle name="Note 3 2 2 3" xfId="1015" xr:uid="{00000000-0005-0000-0000-000067210000}"/>
    <cellStyle name="Note 3 2 2 3 2" xfId="3247" xr:uid="{00000000-0005-0000-0000-000068210000}"/>
    <cellStyle name="Note 3 2 2 3 2 2" xfId="7469" xr:uid="{00000000-0005-0000-0000-000069210000}"/>
    <cellStyle name="Note 3 2 2 3 2 2 2" xfId="15919" xr:uid="{EC6BC1B8-EEEA-4D4C-AABD-142B57CE3960}"/>
    <cellStyle name="Note 3 2 2 3 2 2 3" xfId="24359" xr:uid="{331E9518-FE53-4E78-BCB4-F0C4F89618AD}"/>
    <cellStyle name="Note 3 2 2 3 2 3" xfId="11701" xr:uid="{A242E272-2CB9-4FDC-BED1-6E92354F7FB3}"/>
    <cellStyle name="Note 3 2 2 3 2 4" xfId="20142" xr:uid="{5B7D156D-1693-4802-B63A-AD32F8761B1D}"/>
    <cellStyle name="Note 3 2 2 3 3" xfId="5324" xr:uid="{00000000-0005-0000-0000-00006A210000}"/>
    <cellStyle name="Note 3 2 2 3 3 2" xfId="13774" xr:uid="{E324D405-628F-4742-A654-FA4784234250}"/>
    <cellStyle name="Note 3 2 2 3 3 3" xfId="22214" xr:uid="{6E99AC55-E2B5-4EE6-B01A-26B4A26AB0CB}"/>
    <cellStyle name="Note 3 2 2 3 4" xfId="9556" xr:uid="{19850F12-2217-4326-9CDE-357F5BA7BDF6}"/>
    <cellStyle name="Note 3 2 2 3 5" xfId="17997" xr:uid="{8D4910F0-89D4-4981-9348-85EF9C089B19}"/>
    <cellStyle name="Note 3 2 2 4" xfId="1430" xr:uid="{00000000-0005-0000-0000-00006B210000}"/>
    <cellStyle name="Note 3 2 2 4 2" xfId="3660" xr:uid="{00000000-0005-0000-0000-00006C210000}"/>
    <cellStyle name="Note 3 2 2 4 2 2" xfId="7882" xr:uid="{00000000-0005-0000-0000-00006D210000}"/>
    <cellStyle name="Note 3 2 2 4 2 2 2" xfId="16332" xr:uid="{044147BB-926B-4455-A00B-C9CEC47C793C}"/>
    <cellStyle name="Note 3 2 2 4 2 2 3" xfId="24772" xr:uid="{8EE5A5FE-FF63-46A6-A761-0AB5C2B1B525}"/>
    <cellStyle name="Note 3 2 2 4 2 3" xfId="12114" xr:uid="{E5042318-9A5A-4226-ADF2-BF8B63CFA786}"/>
    <cellStyle name="Note 3 2 2 4 2 4" xfId="20555" xr:uid="{AEF8BC4C-4BA4-4F00-BC13-2CC65BBAAFD0}"/>
    <cellStyle name="Note 3 2 2 4 3" xfId="5737" xr:uid="{00000000-0005-0000-0000-00006E210000}"/>
    <cellStyle name="Note 3 2 2 4 3 2" xfId="14187" xr:uid="{80E89DF2-085F-453F-9AF0-B049B721A637}"/>
    <cellStyle name="Note 3 2 2 4 3 3" xfId="22627" xr:uid="{F6BA274F-4559-4D57-84F8-0415D9A7613B}"/>
    <cellStyle name="Note 3 2 2 4 4" xfId="9969" xr:uid="{739246C6-7F21-4240-9F2E-0AC116F49735}"/>
    <cellStyle name="Note 3 2 2 4 5" xfId="18410" xr:uid="{28247023-B455-4430-B0B0-D2160D89ED5E}"/>
    <cellStyle name="Note 3 2 2 5" xfId="1844" xr:uid="{00000000-0005-0000-0000-00006F210000}"/>
    <cellStyle name="Note 3 2 2 5 2" xfId="4073" xr:uid="{00000000-0005-0000-0000-000070210000}"/>
    <cellStyle name="Note 3 2 2 5 2 2" xfId="8295" xr:uid="{00000000-0005-0000-0000-000071210000}"/>
    <cellStyle name="Note 3 2 2 5 2 2 2" xfId="16745" xr:uid="{72CB5238-D1B5-47BB-BF10-6B330C6036CB}"/>
    <cellStyle name="Note 3 2 2 5 2 2 3" xfId="25185" xr:uid="{A48558CD-ADEB-485A-901F-87D74B6EBA9E}"/>
    <cellStyle name="Note 3 2 2 5 2 3" xfId="12527" xr:uid="{F85A867C-9345-43F0-8E6F-191321F3B259}"/>
    <cellStyle name="Note 3 2 2 5 2 4" xfId="20968" xr:uid="{EC8359B4-1054-4B1E-A477-DB5710E8C55F}"/>
    <cellStyle name="Note 3 2 2 5 3" xfId="6150" xr:uid="{00000000-0005-0000-0000-000072210000}"/>
    <cellStyle name="Note 3 2 2 5 3 2" xfId="14600" xr:uid="{D61B7702-1DE6-4767-AD6B-CECD35A16BAB}"/>
    <cellStyle name="Note 3 2 2 5 3 3" xfId="23040" xr:uid="{1050FE46-7FD4-4EC3-9C47-241228C5964F}"/>
    <cellStyle name="Note 3 2 2 5 4" xfId="10382" xr:uid="{248ABF7D-B594-4745-9399-E4D67A92CE12}"/>
    <cellStyle name="Note 3 2 2 5 5" xfId="18823" xr:uid="{14F1FC12-ED75-4752-92E8-16741C57E1FD}"/>
    <cellStyle name="Note 3 2 2 6" xfId="2257" xr:uid="{00000000-0005-0000-0000-000073210000}"/>
    <cellStyle name="Note 3 2 2 6 2" xfId="4486" xr:uid="{00000000-0005-0000-0000-000074210000}"/>
    <cellStyle name="Note 3 2 2 6 2 2" xfId="8708" xr:uid="{00000000-0005-0000-0000-000075210000}"/>
    <cellStyle name="Note 3 2 2 6 2 2 2" xfId="17158" xr:uid="{AD7F8835-8D09-47D1-AA42-A4F3174F502A}"/>
    <cellStyle name="Note 3 2 2 6 2 2 3" xfId="25598" xr:uid="{DF0B9979-5E1D-480A-A4B4-E55E776B4522}"/>
    <cellStyle name="Note 3 2 2 6 2 3" xfId="12940" xr:uid="{E4EC7AA1-053A-4972-8EBE-C7B99B4FFF32}"/>
    <cellStyle name="Note 3 2 2 6 2 4" xfId="21381" xr:uid="{39E46873-756A-4D4E-83E1-BF36A36C585E}"/>
    <cellStyle name="Note 3 2 2 6 3" xfId="6563" xr:uid="{00000000-0005-0000-0000-000076210000}"/>
    <cellStyle name="Note 3 2 2 6 3 2" xfId="15013" xr:uid="{381AAD9C-C915-4FC6-B47C-8BCDB7B81171}"/>
    <cellStyle name="Note 3 2 2 6 3 3" xfId="23453" xr:uid="{837761B5-E7E1-44D2-BEF4-EB74B09D77B7}"/>
    <cellStyle name="Note 3 2 2 6 4" xfId="10795" xr:uid="{C7C4919A-AF6A-41D3-96B0-403DCA357271}"/>
    <cellStyle name="Note 3 2 2 6 5" xfId="19236" xr:uid="{6AFC4272-F189-49E1-8587-FA1E2AB5890A}"/>
    <cellStyle name="Note 3 2 2 7" xfId="2693" xr:uid="{00000000-0005-0000-0000-000077210000}"/>
    <cellStyle name="Note 3 2 2 7 2" xfId="6976" xr:uid="{00000000-0005-0000-0000-000078210000}"/>
    <cellStyle name="Note 3 2 2 7 2 2" xfId="15426" xr:uid="{7B495B26-AC79-441C-A452-A528E3E669B6}"/>
    <cellStyle name="Note 3 2 2 7 2 3" xfId="23866" xr:uid="{A6FE780C-3381-463F-9F95-FB8EFA395880}"/>
    <cellStyle name="Note 3 2 2 7 3" xfId="11208" xr:uid="{38B0A9E2-82FE-4C94-B4D7-F3AE15248675}"/>
    <cellStyle name="Note 3 2 2 7 4" xfId="19649" xr:uid="{C1921A0B-1FFA-4D2C-92C4-124A12018D9D}"/>
    <cellStyle name="Note 3 2 2 8" xfId="2752" xr:uid="{00000000-0005-0000-0000-000079210000}"/>
    <cellStyle name="Note 3 2 2 9" xfId="2833" xr:uid="{00000000-0005-0000-0000-00007A210000}"/>
    <cellStyle name="Note 3 2 2 9 2" xfId="7056" xr:uid="{00000000-0005-0000-0000-00007B210000}"/>
    <cellStyle name="Note 3 2 2 9 2 2" xfId="15506" xr:uid="{E161912E-CD3C-48E5-806C-EEB2B961E5CB}"/>
    <cellStyle name="Note 3 2 2 9 2 3" xfId="23946" xr:uid="{1C69F0D7-F662-4D33-8596-C7C33CC04270}"/>
    <cellStyle name="Note 3 2 2 9 3" xfId="11288" xr:uid="{E2CBA276-8B8A-4EF5-A3BC-07A5E969C2B7}"/>
    <cellStyle name="Note 3 2 2 9 4" xfId="19729" xr:uid="{1A2A713D-111C-45FE-913B-30710901C8D3}"/>
    <cellStyle name="Note 3 2 3" xfId="557" xr:uid="{00000000-0005-0000-0000-00007C210000}"/>
    <cellStyle name="Note 3 2 3 10" xfId="9145" xr:uid="{4B69D4C8-81A3-47CC-9AF7-4F1DC51CFF1E}"/>
    <cellStyle name="Note 3 2 3 11" xfId="17586" xr:uid="{D515E008-51B9-44C2-887A-2102257417B3}"/>
    <cellStyle name="Note 3 2 3 2" xfId="1017" xr:uid="{00000000-0005-0000-0000-00007D210000}"/>
    <cellStyle name="Note 3 2 3 2 2" xfId="3249" xr:uid="{00000000-0005-0000-0000-00007E210000}"/>
    <cellStyle name="Note 3 2 3 2 2 2" xfId="7471" xr:uid="{00000000-0005-0000-0000-00007F210000}"/>
    <cellStyle name="Note 3 2 3 2 2 2 2" xfId="15921" xr:uid="{3B3C88D0-CBF8-40E2-AEEF-7BD625AF034C}"/>
    <cellStyle name="Note 3 2 3 2 2 2 3" xfId="24361" xr:uid="{47AD0E69-AA7C-4C96-B7E9-DB6A3D16C28B}"/>
    <cellStyle name="Note 3 2 3 2 2 3" xfId="11703" xr:uid="{6B8AD428-A6F0-4900-BE85-99D4BCE83B40}"/>
    <cellStyle name="Note 3 2 3 2 2 4" xfId="20144" xr:uid="{213B219D-DD54-4B2C-853D-CFFD52A923E8}"/>
    <cellStyle name="Note 3 2 3 2 3" xfId="5326" xr:uid="{00000000-0005-0000-0000-000080210000}"/>
    <cellStyle name="Note 3 2 3 2 3 2" xfId="13776" xr:uid="{45D71429-9390-4D5B-8B05-FD4C007475AB}"/>
    <cellStyle name="Note 3 2 3 2 3 3" xfId="22216" xr:uid="{D29DF32B-1FAD-43D5-AC25-B3A081FC15CD}"/>
    <cellStyle name="Note 3 2 3 2 4" xfId="9558" xr:uid="{75D4E83C-0CD4-4E56-95A8-1340C90B3A48}"/>
    <cellStyle name="Note 3 2 3 2 5" xfId="17999" xr:uid="{ED3FC379-7D7F-4978-BBBA-7AF02E006866}"/>
    <cellStyle name="Note 3 2 3 3" xfId="1432" xr:uid="{00000000-0005-0000-0000-000081210000}"/>
    <cellStyle name="Note 3 2 3 3 2" xfId="3662" xr:uid="{00000000-0005-0000-0000-000082210000}"/>
    <cellStyle name="Note 3 2 3 3 2 2" xfId="7884" xr:uid="{00000000-0005-0000-0000-000083210000}"/>
    <cellStyle name="Note 3 2 3 3 2 2 2" xfId="16334" xr:uid="{2D684878-617D-4232-AB2B-AB8EA3B7FF5A}"/>
    <cellStyle name="Note 3 2 3 3 2 2 3" xfId="24774" xr:uid="{84E7FBA7-E25A-4B89-B9EC-4521AAF3C53B}"/>
    <cellStyle name="Note 3 2 3 3 2 3" xfId="12116" xr:uid="{18B5B4F3-0F90-4299-86E4-6ADEC2AFBBD8}"/>
    <cellStyle name="Note 3 2 3 3 2 4" xfId="20557" xr:uid="{B88F1A2C-B8D9-40F4-A321-DB8D1ADE7D3B}"/>
    <cellStyle name="Note 3 2 3 3 3" xfId="5739" xr:uid="{00000000-0005-0000-0000-000084210000}"/>
    <cellStyle name="Note 3 2 3 3 3 2" xfId="14189" xr:uid="{E9321C4C-3330-49EC-9F09-7A98C1E9CBA9}"/>
    <cellStyle name="Note 3 2 3 3 3 3" xfId="22629" xr:uid="{D6CC37AB-DE57-4559-B164-2874F60EAEAA}"/>
    <cellStyle name="Note 3 2 3 3 4" xfId="9971" xr:uid="{56205349-7205-4054-847D-F131714CD907}"/>
    <cellStyle name="Note 3 2 3 3 5" xfId="18412" xr:uid="{DA2BBDF4-4AB0-49E6-BF82-0DF9DCC053AA}"/>
    <cellStyle name="Note 3 2 3 4" xfId="1846" xr:uid="{00000000-0005-0000-0000-000085210000}"/>
    <cellStyle name="Note 3 2 3 4 2" xfId="4075" xr:uid="{00000000-0005-0000-0000-000086210000}"/>
    <cellStyle name="Note 3 2 3 4 2 2" xfId="8297" xr:uid="{00000000-0005-0000-0000-000087210000}"/>
    <cellStyle name="Note 3 2 3 4 2 2 2" xfId="16747" xr:uid="{568EC579-F62D-45FE-BD09-5ABC937B3599}"/>
    <cellStyle name="Note 3 2 3 4 2 2 3" xfId="25187" xr:uid="{A8955CB4-AE85-4C23-AB96-B4989993BFA1}"/>
    <cellStyle name="Note 3 2 3 4 2 3" xfId="12529" xr:uid="{25B8C7B6-95F8-438F-9EB2-E606AE9931C3}"/>
    <cellStyle name="Note 3 2 3 4 2 4" xfId="20970" xr:uid="{F85CD7DE-F248-43D2-B688-C9952A1DEABB}"/>
    <cellStyle name="Note 3 2 3 4 3" xfId="6152" xr:uid="{00000000-0005-0000-0000-000088210000}"/>
    <cellStyle name="Note 3 2 3 4 3 2" xfId="14602" xr:uid="{473F7C49-DC81-4D8C-8C59-8ACAB27D78C6}"/>
    <cellStyle name="Note 3 2 3 4 3 3" xfId="23042" xr:uid="{89111B04-DF8C-47E2-87B9-3EBA9DB59A06}"/>
    <cellStyle name="Note 3 2 3 4 4" xfId="10384" xr:uid="{C2CE6BFD-C3CF-4E42-8D0A-F45E6F869D3B}"/>
    <cellStyle name="Note 3 2 3 4 5" xfId="18825" xr:uid="{1F7CA102-2425-4BFD-9AF0-76C7412A5A43}"/>
    <cellStyle name="Note 3 2 3 5" xfId="2259" xr:uid="{00000000-0005-0000-0000-000089210000}"/>
    <cellStyle name="Note 3 2 3 5 2" xfId="4488" xr:uid="{00000000-0005-0000-0000-00008A210000}"/>
    <cellStyle name="Note 3 2 3 5 2 2" xfId="8710" xr:uid="{00000000-0005-0000-0000-00008B210000}"/>
    <cellStyle name="Note 3 2 3 5 2 2 2" xfId="17160" xr:uid="{8B31BC65-31AF-4A46-9A74-B6AAABD1BB2D}"/>
    <cellStyle name="Note 3 2 3 5 2 2 3" xfId="25600" xr:uid="{1EC08212-04B9-4F11-BD14-0B90660F63FC}"/>
    <cellStyle name="Note 3 2 3 5 2 3" xfId="12942" xr:uid="{3C7EF556-551D-4349-B5FE-A327F9B90D44}"/>
    <cellStyle name="Note 3 2 3 5 2 4" xfId="21383" xr:uid="{25F038E5-694B-4082-AA51-C311F8386671}"/>
    <cellStyle name="Note 3 2 3 5 3" xfId="6565" xr:uid="{00000000-0005-0000-0000-00008C210000}"/>
    <cellStyle name="Note 3 2 3 5 3 2" xfId="15015" xr:uid="{7BF64436-EC94-4E2D-9508-F8B72F2FA3F3}"/>
    <cellStyle name="Note 3 2 3 5 3 3" xfId="23455" xr:uid="{94DBDE84-FABC-47D8-B220-1C38B82558F2}"/>
    <cellStyle name="Note 3 2 3 5 4" xfId="10797" xr:uid="{8C9F98CF-92E5-4DCF-ADDE-83C732B9DADF}"/>
    <cellStyle name="Note 3 2 3 5 5" xfId="19238" xr:uid="{EED676C7-0E02-49A5-B039-31DAB623C56D}"/>
    <cellStyle name="Note 3 2 3 6" xfId="2695" xr:uid="{00000000-0005-0000-0000-00008D210000}"/>
    <cellStyle name="Note 3 2 3 6 2" xfId="6978" xr:uid="{00000000-0005-0000-0000-00008E210000}"/>
    <cellStyle name="Note 3 2 3 6 2 2" xfId="15428" xr:uid="{C43352D6-2243-4000-B95E-C7C0A8ED3414}"/>
    <cellStyle name="Note 3 2 3 6 2 3" xfId="23868" xr:uid="{146BEC6C-6880-4996-8A66-8FC8C4A6B585}"/>
    <cellStyle name="Note 3 2 3 6 3" xfId="11210" xr:uid="{6AD659B9-2657-459A-8250-2494E81E9F82}"/>
    <cellStyle name="Note 3 2 3 6 4" xfId="19651" xr:uid="{F4F6FD7C-B4FF-47D0-8197-9421B4C09336}"/>
    <cellStyle name="Note 3 2 3 7" xfId="2754" xr:uid="{00000000-0005-0000-0000-00008F210000}"/>
    <cellStyle name="Note 3 2 3 8" xfId="2835" xr:uid="{00000000-0005-0000-0000-000090210000}"/>
    <cellStyle name="Note 3 2 3 8 2" xfId="7058" xr:uid="{00000000-0005-0000-0000-000091210000}"/>
    <cellStyle name="Note 3 2 3 8 2 2" xfId="15508" xr:uid="{1878E3FA-3759-4E4B-9D86-2D565EC64E66}"/>
    <cellStyle name="Note 3 2 3 8 2 3" xfId="23948" xr:uid="{71D5D60B-E5EC-4EC7-B251-2611FD7281ED}"/>
    <cellStyle name="Note 3 2 3 8 3" xfId="11290" xr:uid="{81AD3A64-1E1B-4727-8AC2-BBD7F3CE4E08}"/>
    <cellStyle name="Note 3 2 3 8 4" xfId="19731" xr:uid="{4C91C507-4B07-4A6E-B696-04CCC052D38D}"/>
    <cellStyle name="Note 3 2 3 9" xfId="4913" xr:uid="{00000000-0005-0000-0000-000092210000}"/>
    <cellStyle name="Note 3 2 3 9 2" xfId="13363" xr:uid="{807F88D9-BF22-47F7-902B-04C39C37F7F5}"/>
    <cellStyle name="Note 3 2 3 9 3" xfId="21803" xr:uid="{3AA4DEF5-1D2E-49C2-B93C-3D602FC22EC0}"/>
    <cellStyle name="Note 3 2 4" xfId="1014" xr:uid="{00000000-0005-0000-0000-000093210000}"/>
    <cellStyle name="Note 3 2 4 2" xfId="3246" xr:uid="{00000000-0005-0000-0000-000094210000}"/>
    <cellStyle name="Note 3 2 4 2 2" xfId="7468" xr:uid="{00000000-0005-0000-0000-000095210000}"/>
    <cellStyle name="Note 3 2 4 2 2 2" xfId="15918" xr:uid="{EBDF2A2D-79F6-4311-AB3F-56179415AE15}"/>
    <cellStyle name="Note 3 2 4 2 2 3" xfId="24358" xr:uid="{973E9C23-21CE-4BBA-BED0-3AC1E2B64A6A}"/>
    <cellStyle name="Note 3 2 4 2 3" xfId="11700" xr:uid="{142EBDC0-1503-4BB9-B052-B280055F5951}"/>
    <cellStyle name="Note 3 2 4 2 4" xfId="20141" xr:uid="{0AEFAE87-62F9-47E5-B251-7F440A890909}"/>
    <cellStyle name="Note 3 2 4 3" xfId="5323" xr:uid="{00000000-0005-0000-0000-000096210000}"/>
    <cellStyle name="Note 3 2 4 3 2" xfId="13773" xr:uid="{E07827B1-05E1-47DC-B947-A638905EE34C}"/>
    <cellStyle name="Note 3 2 4 3 3" xfId="22213" xr:uid="{20BA48C2-721C-4D70-949B-62CEA80DE2A8}"/>
    <cellStyle name="Note 3 2 4 4" xfId="9555" xr:uid="{C8835077-47AA-4640-BFE5-D7C3BC1457F8}"/>
    <cellStyle name="Note 3 2 4 5" xfId="17996" xr:uid="{B62DB7A5-220F-4E2D-A816-606FE1D1E558}"/>
    <cellStyle name="Note 3 2 5" xfId="1429" xr:uid="{00000000-0005-0000-0000-000097210000}"/>
    <cellStyle name="Note 3 2 5 2" xfId="3659" xr:uid="{00000000-0005-0000-0000-000098210000}"/>
    <cellStyle name="Note 3 2 5 2 2" xfId="7881" xr:uid="{00000000-0005-0000-0000-000099210000}"/>
    <cellStyle name="Note 3 2 5 2 2 2" xfId="16331" xr:uid="{AD3C9C8E-7A21-48D9-9C07-227C6C63E74D}"/>
    <cellStyle name="Note 3 2 5 2 2 3" xfId="24771" xr:uid="{0481474C-2C29-4940-AA15-E2056CDE1A50}"/>
    <cellStyle name="Note 3 2 5 2 3" xfId="12113" xr:uid="{14F5303A-3CCB-4107-9C7B-5D607521C1BD}"/>
    <cellStyle name="Note 3 2 5 2 4" xfId="20554" xr:uid="{3451F4EB-76BD-4D66-8B09-6146BEE8947F}"/>
    <cellStyle name="Note 3 2 5 3" xfId="5736" xr:uid="{00000000-0005-0000-0000-00009A210000}"/>
    <cellStyle name="Note 3 2 5 3 2" xfId="14186" xr:uid="{8C700EC8-2C17-465C-8951-80C0D71F293C}"/>
    <cellStyle name="Note 3 2 5 3 3" xfId="22626" xr:uid="{89AD2E34-5E37-408E-B885-11205E069042}"/>
    <cellStyle name="Note 3 2 5 4" xfId="9968" xr:uid="{0BC3B03B-9392-492A-85B6-FB132750A526}"/>
    <cellStyle name="Note 3 2 5 5" xfId="18409" xr:uid="{21598424-9817-4B23-B99E-E1C184EA4F32}"/>
    <cellStyle name="Note 3 2 6" xfId="1843" xr:uid="{00000000-0005-0000-0000-00009B210000}"/>
    <cellStyle name="Note 3 2 6 2" xfId="4072" xr:uid="{00000000-0005-0000-0000-00009C210000}"/>
    <cellStyle name="Note 3 2 6 2 2" xfId="8294" xr:uid="{00000000-0005-0000-0000-00009D210000}"/>
    <cellStyle name="Note 3 2 6 2 2 2" xfId="16744" xr:uid="{4422AC70-2DFD-436F-A906-ED474DD12CF7}"/>
    <cellStyle name="Note 3 2 6 2 2 3" xfId="25184" xr:uid="{EBE4DB48-D48A-4EBE-8B9D-A0017B31FE29}"/>
    <cellStyle name="Note 3 2 6 2 3" xfId="12526" xr:uid="{702C3BAE-B5FF-4DA2-9CB6-1D143974D1F5}"/>
    <cellStyle name="Note 3 2 6 2 4" xfId="20967" xr:uid="{173D3A09-4CDD-4B54-8A2D-D5757F67D933}"/>
    <cellStyle name="Note 3 2 6 3" xfId="6149" xr:uid="{00000000-0005-0000-0000-00009E210000}"/>
    <cellStyle name="Note 3 2 6 3 2" xfId="14599" xr:uid="{0589922D-5C4E-470E-AB40-7B4EFE890722}"/>
    <cellStyle name="Note 3 2 6 3 3" xfId="23039" xr:uid="{DE9A448C-9E96-4CA7-BC2B-99A8E02E5EA4}"/>
    <cellStyle name="Note 3 2 6 4" xfId="10381" xr:uid="{426BEADF-10CB-42E5-BE06-51CA19E75386}"/>
    <cellStyle name="Note 3 2 6 5" xfId="18822" xr:uid="{8153DF04-7C0E-471C-A9D3-BEED67D24973}"/>
    <cellStyle name="Note 3 2 7" xfId="2256" xr:uid="{00000000-0005-0000-0000-00009F210000}"/>
    <cellStyle name="Note 3 2 7 2" xfId="4485" xr:uid="{00000000-0005-0000-0000-0000A0210000}"/>
    <cellStyle name="Note 3 2 7 2 2" xfId="8707" xr:uid="{00000000-0005-0000-0000-0000A1210000}"/>
    <cellStyle name="Note 3 2 7 2 2 2" xfId="17157" xr:uid="{59BD110D-752B-4D08-A6A9-AA4819049334}"/>
    <cellStyle name="Note 3 2 7 2 2 3" xfId="25597" xr:uid="{B7F9277E-CA32-4753-B6CB-3C28B9A5BC99}"/>
    <cellStyle name="Note 3 2 7 2 3" xfId="12939" xr:uid="{83B13F9D-3CA4-4DAF-88C8-3D1AC10D3DC0}"/>
    <cellStyle name="Note 3 2 7 2 4" xfId="21380" xr:uid="{461F4681-AC5E-4B1C-9EB5-06E85D292FE0}"/>
    <cellStyle name="Note 3 2 7 3" xfId="6562" xr:uid="{00000000-0005-0000-0000-0000A2210000}"/>
    <cellStyle name="Note 3 2 7 3 2" xfId="15012" xr:uid="{3D16D475-C3C3-4C8B-BD4F-3E794D2BC567}"/>
    <cellStyle name="Note 3 2 7 3 3" xfId="23452" xr:uid="{ED29942A-B6ED-424F-8595-FA06B463393E}"/>
    <cellStyle name="Note 3 2 7 4" xfId="10794" xr:uid="{9377566B-B99C-43D6-961B-CF35A94108D7}"/>
    <cellStyle name="Note 3 2 7 5" xfId="19235" xr:uid="{03ADE686-7B7F-447F-92A1-7CF47ECD762F}"/>
    <cellStyle name="Note 3 2 8" xfId="2692" xr:uid="{00000000-0005-0000-0000-0000A3210000}"/>
    <cellStyle name="Note 3 2 8 2" xfId="6975" xr:uid="{00000000-0005-0000-0000-0000A4210000}"/>
    <cellStyle name="Note 3 2 8 2 2" xfId="15425" xr:uid="{7FBCABC4-C7A2-4FD6-A609-358F9217E4E3}"/>
    <cellStyle name="Note 3 2 8 2 3" xfId="23865" xr:uid="{0352F0BC-D91D-453C-B444-885D19D8DA08}"/>
    <cellStyle name="Note 3 2 8 3" xfId="11207" xr:uid="{4E87A727-5DF5-49E7-A3F6-44CC76AD1F85}"/>
    <cellStyle name="Note 3 2 8 4" xfId="19648" xr:uid="{D6912124-FA33-4432-8B9C-3802CF896A71}"/>
    <cellStyle name="Note 3 2 9" xfId="2751" xr:uid="{00000000-0005-0000-0000-0000A5210000}"/>
    <cellStyle name="Note 3 3" xfId="558" xr:uid="{00000000-0005-0000-0000-0000A6210000}"/>
    <cellStyle name="Note 3 3 10" xfId="4914" xr:uid="{00000000-0005-0000-0000-0000A7210000}"/>
    <cellStyle name="Note 3 3 10 2" xfId="13364" xr:uid="{1FA9A6BF-C6DE-4CFD-B84F-28317C96F5C4}"/>
    <cellStyle name="Note 3 3 10 3" xfId="21804" xr:uid="{2A2A43A7-F821-487F-AB6C-FE3AE3C99D14}"/>
    <cellStyle name="Note 3 3 11" xfId="9146" xr:uid="{B14FDCB8-2316-4391-9423-3B77285C7A15}"/>
    <cellStyle name="Note 3 3 12" xfId="17587" xr:uid="{9E3B2718-6CE9-4966-83B5-3E3506F4FEF5}"/>
    <cellStyle name="Note 3 3 2" xfId="559" xr:uid="{00000000-0005-0000-0000-0000A8210000}"/>
    <cellStyle name="Note 3 3 2 10" xfId="9147" xr:uid="{59AEC3C4-A78D-4317-A4EC-D0585B7AB95B}"/>
    <cellStyle name="Note 3 3 2 11" xfId="17588" xr:uid="{4485E173-F1FE-4A9B-BB1A-798A68942F74}"/>
    <cellStyle name="Note 3 3 2 2" xfId="1019" xr:uid="{00000000-0005-0000-0000-0000A9210000}"/>
    <cellStyle name="Note 3 3 2 2 2" xfId="3251" xr:uid="{00000000-0005-0000-0000-0000AA210000}"/>
    <cellStyle name="Note 3 3 2 2 2 2" xfId="7473" xr:uid="{00000000-0005-0000-0000-0000AB210000}"/>
    <cellStyle name="Note 3 3 2 2 2 2 2" xfId="15923" xr:uid="{D9F5A34F-0643-47E7-84FD-D5D9E4A5967F}"/>
    <cellStyle name="Note 3 3 2 2 2 2 3" xfId="24363" xr:uid="{830F2887-2DD2-41D7-93AB-891FCE7801F7}"/>
    <cellStyle name="Note 3 3 2 2 2 3" xfId="11705" xr:uid="{54D7F93B-019F-494C-9592-473A1B148A83}"/>
    <cellStyle name="Note 3 3 2 2 2 4" xfId="20146" xr:uid="{FED6FBC4-7722-415A-BD08-8A5CAB3FCDE6}"/>
    <cellStyle name="Note 3 3 2 2 3" xfId="5328" xr:uid="{00000000-0005-0000-0000-0000AC210000}"/>
    <cellStyle name="Note 3 3 2 2 3 2" xfId="13778" xr:uid="{21A60148-B069-496C-BA52-546938DCABC0}"/>
    <cellStyle name="Note 3 3 2 2 3 3" xfId="22218" xr:uid="{9A5EED2B-5612-46AF-AAE2-68E6922AB8F8}"/>
    <cellStyle name="Note 3 3 2 2 4" xfId="9560" xr:uid="{2BDE791E-5988-4C79-8238-C56CBFBA170F}"/>
    <cellStyle name="Note 3 3 2 2 5" xfId="18001" xr:uid="{BA7B1747-076A-4C8F-B753-30AAB9ED59B8}"/>
    <cellStyle name="Note 3 3 2 3" xfId="1434" xr:uid="{00000000-0005-0000-0000-0000AD210000}"/>
    <cellStyle name="Note 3 3 2 3 2" xfId="3664" xr:uid="{00000000-0005-0000-0000-0000AE210000}"/>
    <cellStyle name="Note 3 3 2 3 2 2" xfId="7886" xr:uid="{00000000-0005-0000-0000-0000AF210000}"/>
    <cellStyle name="Note 3 3 2 3 2 2 2" xfId="16336" xr:uid="{C71190CF-E3AE-4219-BCDA-602691B77B8A}"/>
    <cellStyle name="Note 3 3 2 3 2 2 3" xfId="24776" xr:uid="{8EDDC52A-848F-4D3E-8686-4BCD2249F336}"/>
    <cellStyle name="Note 3 3 2 3 2 3" xfId="12118" xr:uid="{B83D0495-DB22-4BBC-9BE8-A306EAEA6EA6}"/>
    <cellStyle name="Note 3 3 2 3 2 4" xfId="20559" xr:uid="{63E75174-5A67-4F48-BC80-40D15B74FC07}"/>
    <cellStyle name="Note 3 3 2 3 3" xfId="5741" xr:uid="{00000000-0005-0000-0000-0000B0210000}"/>
    <cellStyle name="Note 3 3 2 3 3 2" xfId="14191" xr:uid="{93E96389-2450-4A0C-BED0-F133A23F5821}"/>
    <cellStyle name="Note 3 3 2 3 3 3" xfId="22631" xr:uid="{933B3183-A0C6-46EF-ACD7-47007B6595ED}"/>
    <cellStyle name="Note 3 3 2 3 4" xfId="9973" xr:uid="{681E70D9-B530-465F-AAFA-50F73C07503C}"/>
    <cellStyle name="Note 3 3 2 3 5" xfId="18414" xr:uid="{F790B097-4FA4-4BF0-AC15-FBF4E80C82BA}"/>
    <cellStyle name="Note 3 3 2 4" xfId="1848" xr:uid="{00000000-0005-0000-0000-0000B1210000}"/>
    <cellStyle name="Note 3 3 2 4 2" xfId="4077" xr:uid="{00000000-0005-0000-0000-0000B2210000}"/>
    <cellStyle name="Note 3 3 2 4 2 2" xfId="8299" xr:uid="{00000000-0005-0000-0000-0000B3210000}"/>
    <cellStyle name="Note 3 3 2 4 2 2 2" xfId="16749" xr:uid="{BF5D4F0E-C1C7-448D-94D2-C3118EE73B19}"/>
    <cellStyle name="Note 3 3 2 4 2 2 3" xfId="25189" xr:uid="{743D3BF4-3C5B-4516-A8E5-3201C402FDC8}"/>
    <cellStyle name="Note 3 3 2 4 2 3" xfId="12531" xr:uid="{3348397E-AF6A-45DC-9B4F-83D6F32AAEA8}"/>
    <cellStyle name="Note 3 3 2 4 2 4" xfId="20972" xr:uid="{7F98DEE5-E47F-4E7B-9032-32AC1CAC7C0A}"/>
    <cellStyle name="Note 3 3 2 4 3" xfId="6154" xr:uid="{00000000-0005-0000-0000-0000B4210000}"/>
    <cellStyle name="Note 3 3 2 4 3 2" xfId="14604" xr:uid="{7154C399-1FF0-4FC4-9D1D-AEA41CB51E96}"/>
    <cellStyle name="Note 3 3 2 4 3 3" xfId="23044" xr:uid="{8706920F-1D66-47CB-9C32-6264C595094E}"/>
    <cellStyle name="Note 3 3 2 4 4" xfId="10386" xr:uid="{25CB8CD3-9E4D-4788-8E2F-6EEB767DAC9D}"/>
    <cellStyle name="Note 3 3 2 4 5" xfId="18827" xr:uid="{5FAA6A66-F64E-4D56-B69B-F402A743C211}"/>
    <cellStyle name="Note 3 3 2 5" xfId="2261" xr:uid="{00000000-0005-0000-0000-0000B5210000}"/>
    <cellStyle name="Note 3 3 2 5 2" xfId="4490" xr:uid="{00000000-0005-0000-0000-0000B6210000}"/>
    <cellStyle name="Note 3 3 2 5 2 2" xfId="8712" xr:uid="{00000000-0005-0000-0000-0000B7210000}"/>
    <cellStyle name="Note 3 3 2 5 2 2 2" xfId="17162" xr:uid="{FB666A54-AF20-4345-8B9B-78314ED7E965}"/>
    <cellStyle name="Note 3 3 2 5 2 2 3" xfId="25602" xr:uid="{4828A0B2-C44E-4965-96F9-AF4291113069}"/>
    <cellStyle name="Note 3 3 2 5 2 3" xfId="12944" xr:uid="{ED18D8BA-0261-4D49-971E-777A5DACCA47}"/>
    <cellStyle name="Note 3 3 2 5 2 4" xfId="21385" xr:uid="{B12D086B-B902-4171-9F3D-8D0F0B92B7C7}"/>
    <cellStyle name="Note 3 3 2 5 3" xfId="6567" xr:uid="{00000000-0005-0000-0000-0000B8210000}"/>
    <cellStyle name="Note 3 3 2 5 3 2" xfId="15017" xr:uid="{D8FDD8B6-3920-48C5-BF5F-DC707F7305F6}"/>
    <cellStyle name="Note 3 3 2 5 3 3" xfId="23457" xr:uid="{71FA54EA-0EDF-44E1-8C13-2D0A71DD46FF}"/>
    <cellStyle name="Note 3 3 2 5 4" xfId="10799" xr:uid="{51CCFD8D-A8CA-4810-9CA1-4995E068B036}"/>
    <cellStyle name="Note 3 3 2 5 5" xfId="19240" xr:uid="{468213CA-7ACE-4164-90E6-11DDD1796AB7}"/>
    <cellStyle name="Note 3 3 2 6" xfId="2697" xr:uid="{00000000-0005-0000-0000-0000B9210000}"/>
    <cellStyle name="Note 3 3 2 6 2" xfId="6980" xr:uid="{00000000-0005-0000-0000-0000BA210000}"/>
    <cellStyle name="Note 3 3 2 6 2 2" xfId="15430" xr:uid="{0953B022-4457-4740-B883-AA027CB9C246}"/>
    <cellStyle name="Note 3 3 2 6 2 3" xfId="23870" xr:uid="{CD65A6E9-6011-4A84-89D0-D9C64CF4516E}"/>
    <cellStyle name="Note 3 3 2 6 3" xfId="11212" xr:uid="{F0C270CB-520A-4FDC-AFE2-E8ED25C629A5}"/>
    <cellStyle name="Note 3 3 2 6 4" xfId="19653" xr:uid="{107A7EA4-9C27-429E-BC9D-134345F51823}"/>
    <cellStyle name="Note 3 3 2 7" xfId="2756" xr:uid="{00000000-0005-0000-0000-0000BB210000}"/>
    <cellStyle name="Note 3 3 2 8" xfId="2837" xr:uid="{00000000-0005-0000-0000-0000BC210000}"/>
    <cellStyle name="Note 3 3 2 8 2" xfId="7060" xr:uid="{00000000-0005-0000-0000-0000BD210000}"/>
    <cellStyle name="Note 3 3 2 8 2 2" xfId="15510" xr:uid="{04B9D4EA-762E-4A81-9268-3BD32F3BAFEE}"/>
    <cellStyle name="Note 3 3 2 8 2 3" xfId="23950" xr:uid="{6CFA4153-03A7-40CA-8B89-800D2E0DF08E}"/>
    <cellStyle name="Note 3 3 2 8 3" xfId="11292" xr:uid="{A83DC786-B864-4D3B-A5A3-5BBE4EBA3FF1}"/>
    <cellStyle name="Note 3 3 2 8 4" xfId="19733" xr:uid="{48E49541-49FE-43D2-905B-15A8D3E09272}"/>
    <cellStyle name="Note 3 3 2 9" xfId="4915" xr:uid="{00000000-0005-0000-0000-0000BE210000}"/>
    <cellStyle name="Note 3 3 2 9 2" xfId="13365" xr:uid="{BB4B5F47-C000-4D59-B3AB-49D0003C4DC8}"/>
    <cellStyle name="Note 3 3 2 9 3" xfId="21805" xr:uid="{BDE0A189-8327-4197-B46F-6802623369BA}"/>
    <cellStyle name="Note 3 3 3" xfId="1018" xr:uid="{00000000-0005-0000-0000-0000BF210000}"/>
    <cellStyle name="Note 3 3 3 2" xfId="3250" xr:uid="{00000000-0005-0000-0000-0000C0210000}"/>
    <cellStyle name="Note 3 3 3 2 2" xfId="7472" xr:uid="{00000000-0005-0000-0000-0000C1210000}"/>
    <cellStyle name="Note 3 3 3 2 2 2" xfId="15922" xr:uid="{DD8D4F34-2466-4EC1-914E-FBB5207AE77A}"/>
    <cellStyle name="Note 3 3 3 2 2 3" xfId="24362" xr:uid="{20CF47CE-DEF3-4E3E-A656-D98F86E7B5B9}"/>
    <cellStyle name="Note 3 3 3 2 3" xfId="11704" xr:uid="{B7BE44D7-2947-4D98-B1F3-F2D035D94E0C}"/>
    <cellStyle name="Note 3 3 3 2 4" xfId="20145" xr:uid="{21A065AF-5F28-476B-B899-F65241DA1253}"/>
    <cellStyle name="Note 3 3 3 3" xfId="5327" xr:uid="{00000000-0005-0000-0000-0000C2210000}"/>
    <cellStyle name="Note 3 3 3 3 2" xfId="13777" xr:uid="{D4785471-693F-4D76-A0C1-7D7F0239CA9C}"/>
    <cellStyle name="Note 3 3 3 3 3" xfId="22217" xr:uid="{B8F6C3EA-124F-407F-95E7-71676C2BF53F}"/>
    <cellStyle name="Note 3 3 3 4" xfId="9559" xr:uid="{78BF36AA-6682-4748-8B4B-94E8309C16D5}"/>
    <cellStyle name="Note 3 3 3 5" xfId="18000" xr:uid="{860B3164-5473-4FDD-A209-017C4DBD7D11}"/>
    <cellStyle name="Note 3 3 4" xfId="1433" xr:uid="{00000000-0005-0000-0000-0000C3210000}"/>
    <cellStyle name="Note 3 3 4 2" xfId="3663" xr:uid="{00000000-0005-0000-0000-0000C4210000}"/>
    <cellStyle name="Note 3 3 4 2 2" xfId="7885" xr:uid="{00000000-0005-0000-0000-0000C5210000}"/>
    <cellStyle name="Note 3 3 4 2 2 2" xfId="16335" xr:uid="{29CAB7EE-72CD-4839-9E56-D64FA042BC99}"/>
    <cellStyle name="Note 3 3 4 2 2 3" xfId="24775" xr:uid="{48595C84-DB2E-4F56-B41D-12F666E20024}"/>
    <cellStyle name="Note 3 3 4 2 3" xfId="12117" xr:uid="{35A1A903-C37F-4A22-94C5-8C20817C7E93}"/>
    <cellStyle name="Note 3 3 4 2 4" xfId="20558" xr:uid="{9A648D82-1B23-416F-ACB5-41DE9AA2BDF8}"/>
    <cellStyle name="Note 3 3 4 3" xfId="5740" xr:uid="{00000000-0005-0000-0000-0000C6210000}"/>
    <cellStyle name="Note 3 3 4 3 2" xfId="14190" xr:uid="{49C1A743-61A8-4674-B82E-5E30B7635CF2}"/>
    <cellStyle name="Note 3 3 4 3 3" xfId="22630" xr:uid="{E936C8C0-C6FA-4C3A-B9A0-1F96107FAB54}"/>
    <cellStyle name="Note 3 3 4 4" xfId="9972" xr:uid="{0AA4C30A-0ED3-4749-8EB6-5E752190CDFE}"/>
    <cellStyle name="Note 3 3 4 5" xfId="18413" xr:uid="{11235961-4568-4D60-8CCF-2F1B999622A6}"/>
    <cellStyle name="Note 3 3 5" xfId="1847" xr:uid="{00000000-0005-0000-0000-0000C7210000}"/>
    <cellStyle name="Note 3 3 5 2" xfId="4076" xr:uid="{00000000-0005-0000-0000-0000C8210000}"/>
    <cellStyle name="Note 3 3 5 2 2" xfId="8298" xr:uid="{00000000-0005-0000-0000-0000C9210000}"/>
    <cellStyle name="Note 3 3 5 2 2 2" xfId="16748" xr:uid="{15EC14D4-4106-4F11-BCA4-CCBB7FE06C0F}"/>
    <cellStyle name="Note 3 3 5 2 2 3" xfId="25188" xr:uid="{C318635E-F26A-4992-933F-119CD1C81733}"/>
    <cellStyle name="Note 3 3 5 2 3" xfId="12530" xr:uid="{4CA94969-23D9-4C15-A111-57DF4E95D188}"/>
    <cellStyle name="Note 3 3 5 2 4" xfId="20971" xr:uid="{DBE7F028-42E9-4B95-8242-06C3AB6CD051}"/>
    <cellStyle name="Note 3 3 5 3" xfId="6153" xr:uid="{00000000-0005-0000-0000-0000CA210000}"/>
    <cellStyle name="Note 3 3 5 3 2" xfId="14603" xr:uid="{265E74BC-5470-42A5-A138-13963A0D0D5A}"/>
    <cellStyle name="Note 3 3 5 3 3" xfId="23043" xr:uid="{B7C10B1B-F9EB-4320-BF1F-B376101775D1}"/>
    <cellStyle name="Note 3 3 5 4" xfId="10385" xr:uid="{AE0BADAC-0DF4-49C4-860A-508E7CA31218}"/>
    <cellStyle name="Note 3 3 5 5" xfId="18826" xr:uid="{24C43157-2602-42B7-83DF-ABA55A46E239}"/>
    <cellStyle name="Note 3 3 6" xfId="2260" xr:uid="{00000000-0005-0000-0000-0000CB210000}"/>
    <cellStyle name="Note 3 3 6 2" xfId="4489" xr:uid="{00000000-0005-0000-0000-0000CC210000}"/>
    <cellStyle name="Note 3 3 6 2 2" xfId="8711" xr:uid="{00000000-0005-0000-0000-0000CD210000}"/>
    <cellStyle name="Note 3 3 6 2 2 2" xfId="17161" xr:uid="{CCBCE98E-79D0-409C-B0DD-F140E7B91CAC}"/>
    <cellStyle name="Note 3 3 6 2 2 3" xfId="25601" xr:uid="{E9836A64-55C9-41BC-8C94-8F3F82280DE7}"/>
    <cellStyle name="Note 3 3 6 2 3" xfId="12943" xr:uid="{D0331529-7A77-4BD5-986B-8EF8C6B9B4CB}"/>
    <cellStyle name="Note 3 3 6 2 4" xfId="21384" xr:uid="{65DE10AE-DEDE-4319-BA1C-BC6ADA45A1D1}"/>
    <cellStyle name="Note 3 3 6 3" xfId="6566" xr:uid="{00000000-0005-0000-0000-0000CE210000}"/>
    <cellStyle name="Note 3 3 6 3 2" xfId="15016" xr:uid="{A521AA02-610B-4383-9C47-A74F4661FD6D}"/>
    <cellStyle name="Note 3 3 6 3 3" xfId="23456" xr:uid="{BBFE1B8C-7C2F-4C4F-A0BF-A00277EB1D86}"/>
    <cellStyle name="Note 3 3 6 4" xfId="10798" xr:uid="{0C4FA78F-0924-4F2C-AE16-2161F5119417}"/>
    <cellStyle name="Note 3 3 6 5" xfId="19239" xr:uid="{5140FD75-71CD-4721-A90C-59F8A0E7300A}"/>
    <cellStyle name="Note 3 3 7" xfId="2696" xr:uid="{00000000-0005-0000-0000-0000CF210000}"/>
    <cellStyle name="Note 3 3 7 2" xfId="6979" xr:uid="{00000000-0005-0000-0000-0000D0210000}"/>
    <cellStyle name="Note 3 3 7 2 2" xfId="15429" xr:uid="{1F187F59-5679-4E2B-88F9-9E9CE7211BC3}"/>
    <cellStyle name="Note 3 3 7 2 3" xfId="23869" xr:uid="{4792E87D-2DFD-45CA-95B2-E19C5474ADE3}"/>
    <cellStyle name="Note 3 3 7 3" xfId="11211" xr:uid="{301D3849-A073-49B0-ABE5-8F9C85315704}"/>
    <cellStyle name="Note 3 3 7 4" xfId="19652" xr:uid="{9C3FAD43-693E-405E-9A7C-AF58CD52C1B4}"/>
    <cellStyle name="Note 3 3 8" xfId="2755" xr:uid="{00000000-0005-0000-0000-0000D1210000}"/>
    <cellStyle name="Note 3 3 9" xfId="2836" xr:uid="{00000000-0005-0000-0000-0000D2210000}"/>
    <cellStyle name="Note 3 3 9 2" xfId="7059" xr:uid="{00000000-0005-0000-0000-0000D3210000}"/>
    <cellStyle name="Note 3 3 9 2 2" xfId="15509" xr:uid="{75CEE1EB-2E4F-41EB-84DB-34D4D83D857F}"/>
    <cellStyle name="Note 3 3 9 2 3" xfId="23949" xr:uid="{9B340EB2-FADD-4E63-8A71-836582DD4DA9}"/>
    <cellStyle name="Note 3 3 9 3" xfId="11291" xr:uid="{3E8DA3AD-B9CC-4442-B2C1-E50AA502327E}"/>
    <cellStyle name="Note 3 3 9 4" xfId="19732" xr:uid="{09360369-82E7-41A5-BB87-0F4BEFD6A040}"/>
    <cellStyle name="Note 3 4" xfId="560" xr:uid="{00000000-0005-0000-0000-0000D4210000}"/>
    <cellStyle name="Note 3 4 10" xfId="9148" xr:uid="{B944676F-30AA-4AE6-A587-0ABCCAA04BC4}"/>
    <cellStyle name="Note 3 4 11" xfId="17589" xr:uid="{F055549A-0083-4138-8E22-9A2E3523DD2B}"/>
    <cellStyle name="Note 3 4 2" xfId="1020" xr:uid="{00000000-0005-0000-0000-0000D5210000}"/>
    <cellStyle name="Note 3 4 2 2" xfId="3252" xr:uid="{00000000-0005-0000-0000-0000D6210000}"/>
    <cellStyle name="Note 3 4 2 2 2" xfId="7474" xr:uid="{00000000-0005-0000-0000-0000D7210000}"/>
    <cellStyle name="Note 3 4 2 2 2 2" xfId="15924" xr:uid="{EAC372D8-AC86-4B1E-9B9F-1BE36D14B147}"/>
    <cellStyle name="Note 3 4 2 2 2 3" xfId="24364" xr:uid="{4710F4F1-86D4-4E05-9EA1-23CB9B13F2EA}"/>
    <cellStyle name="Note 3 4 2 2 3" xfId="11706" xr:uid="{413C3DBE-825A-4E86-B847-5DAE76C9435B}"/>
    <cellStyle name="Note 3 4 2 2 4" xfId="20147" xr:uid="{96714B75-6538-4E15-A4F6-14E6B26EBD2F}"/>
    <cellStyle name="Note 3 4 2 3" xfId="5329" xr:uid="{00000000-0005-0000-0000-0000D8210000}"/>
    <cellStyle name="Note 3 4 2 3 2" xfId="13779" xr:uid="{FECA614E-D5D6-401F-8ABE-2670D3F81CA6}"/>
    <cellStyle name="Note 3 4 2 3 3" xfId="22219" xr:uid="{E35515F3-9063-4041-84AA-92E4801F65DB}"/>
    <cellStyle name="Note 3 4 2 4" xfId="9561" xr:uid="{602B351F-93C0-4197-A5B5-971861650363}"/>
    <cellStyle name="Note 3 4 2 5" xfId="18002" xr:uid="{47C8A205-1357-461A-A407-2F889E78508E}"/>
    <cellStyle name="Note 3 4 3" xfId="1435" xr:uid="{00000000-0005-0000-0000-0000D9210000}"/>
    <cellStyle name="Note 3 4 3 2" xfId="3665" xr:uid="{00000000-0005-0000-0000-0000DA210000}"/>
    <cellStyle name="Note 3 4 3 2 2" xfId="7887" xr:uid="{00000000-0005-0000-0000-0000DB210000}"/>
    <cellStyle name="Note 3 4 3 2 2 2" xfId="16337" xr:uid="{4B391AED-F942-49A7-8EE2-A396DD24CE4E}"/>
    <cellStyle name="Note 3 4 3 2 2 3" xfId="24777" xr:uid="{200D8DCD-6F34-4A1C-95E9-02D25F28194A}"/>
    <cellStyle name="Note 3 4 3 2 3" xfId="12119" xr:uid="{D28337C8-92FA-4AD9-8804-55901BAB39AD}"/>
    <cellStyle name="Note 3 4 3 2 4" xfId="20560" xr:uid="{4A003992-E111-426A-826A-008B3FC4F7D4}"/>
    <cellStyle name="Note 3 4 3 3" xfId="5742" xr:uid="{00000000-0005-0000-0000-0000DC210000}"/>
    <cellStyle name="Note 3 4 3 3 2" xfId="14192" xr:uid="{2025953E-C39E-4943-93FC-0B6BBE92E5CD}"/>
    <cellStyle name="Note 3 4 3 3 3" xfId="22632" xr:uid="{438BFA76-5C7E-4A90-8058-D87D65657849}"/>
    <cellStyle name="Note 3 4 3 4" xfId="9974" xr:uid="{9AB19942-554E-491E-BA31-E6FB49C6D5B6}"/>
    <cellStyle name="Note 3 4 3 5" xfId="18415" xr:uid="{2C15360D-2193-41C7-90E9-50E4C519003E}"/>
    <cellStyle name="Note 3 4 4" xfId="1849" xr:uid="{00000000-0005-0000-0000-0000DD210000}"/>
    <cellStyle name="Note 3 4 4 2" xfId="4078" xr:uid="{00000000-0005-0000-0000-0000DE210000}"/>
    <cellStyle name="Note 3 4 4 2 2" xfId="8300" xr:uid="{00000000-0005-0000-0000-0000DF210000}"/>
    <cellStyle name="Note 3 4 4 2 2 2" xfId="16750" xr:uid="{CED17001-E06A-4A57-B02E-A2628C425CDF}"/>
    <cellStyle name="Note 3 4 4 2 2 3" xfId="25190" xr:uid="{11D6C9C0-8AAE-4F7A-874D-F3FDAAD7F7F4}"/>
    <cellStyle name="Note 3 4 4 2 3" xfId="12532" xr:uid="{0259A8CA-3CD3-41DC-9C73-566FA018D869}"/>
    <cellStyle name="Note 3 4 4 2 4" xfId="20973" xr:uid="{23096809-10B2-4343-908B-39A1C86B6491}"/>
    <cellStyle name="Note 3 4 4 3" xfId="6155" xr:uid="{00000000-0005-0000-0000-0000E0210000}"/>
    <cellStyle name="Note 3 4 4 3 2" xfId="14605" xr:uid="{DCDF216D-9CB3-4028-B7DE-B5D5E23EF3E6}"/>
    <cellStyle name="Note 3 4 4 3 3" xfId="23045" xr:uid="{7F8EB34E-6F07-4B01-90E9-1015E5AD43AA}"/>
    <cellStyle name="Note 3 4 4 4" xfId="10387" xr:uid="{976017C9-A8CC-4C28-BBAB-3096A8772410}"/>
    <cellStyle name="Note 3 4 4 5" xfId="18828" xr:uid="{15DD935F-3639-4EAB-9FBF-AA431B716221}"/>
    <cellStyle name="Note 3 4 5" xfId="2262" xr:uid="{00000000-0005-0000-0000-0000E1210000}"/>
    <cellStyle name="Note 3 4 5 2" xfId="4491" xr:uid="{00000000-0005-0000-0000-0000E2210000}"/>
    <cellStyle name="Note 3 4 5 2 2" xfId="8713" xr:uid="{00000000-0005-0000-0000-0000E3210000}"/>
    <cellStyle name="Note 3 4 5 2 2 2" xfId="17163" xr:uid="{30EF1DCF-93DB-4743-AC9D-0161A28722B5}"/>
    <cellStyle name="Note 3 4 5 2 2 3" xfId="25603" xr:uid="{BB44DD28-C876-4290-B2FE-858E33190F89}"/>
    <cellStyle name="Note 3 4 5 2 3" xfId="12945" xr:uid="{B12FFFF7-8893-4A61-8BD9-5EBCF19E241A}"/>
    <cellStyle name="Note 3 4 5 2 4" xfId="21386" xr:uid="{C874A02F-FBA2-44BF-A682-31B49E2F29ED}"/>
    <cellStyle name="Note 3 4 5 3" xfId="6568" xr:uid="{00000000-0005-0000-0000-0000E4210000}"/>
    <cellStyle name="Note 3 4 5 3 2" xfId="15018" xr:uid="{99C3F3F7-8D88-4254-A062-E9342AB543F7}"/>
    <cellStyle name="Note 3 4 5 3 3" xfId="23458" xr:uid="{320B9930-D1A9-4126-AF1B-44FF71AC670C}"/>
    <cellStyle name="Note 3 4 5 4" xfId="10800" xr:uid="{C2955EA2-EC34-4B7A-A078-3206BB56A5E1}"/>
    <cellStyle name="Note 3 4 5 5" xfId="19241" xr:uid="{A04F3694-EFE1-4500-8DDE-5B5DA2B67A17}"/>
    <cellStyle name="Note 3 4 6" xfId="2698" xr:uid="{00000000-0005-0000-0000-0000E5210000}"/>
    <cellStyle name="Note 3 4 6 2" xfId="6981" xr:uid="{00000000-0005-0000-0000-0000E6210000}"/>
    <cellStyle name="Note 3 4 6 2 2" xfId="15431" xr:uid="{CC513DE8-5FFF-4D0E-AFB5-E57AD2DAE2D9}"/>
    <cellStyle name="Note 3 4 6 2 3" xfId="23871" xr:uid="{E6ADA056-B014-4B61-BEBA-33105D674DCA}"/>
    <cellStyle name="Note 3 4 6 3" xfId="11213" xr:uid="{F94FCE08-8B86-4A2F-8924-5B60FCE47EAA}"/>
    <cellStyle name="Note 3 4 6 4" xfId="19654" xr:uid="{CA236105-07E9-42C4-98CB-9DC970159285}"/>
    <cellStyle name="Note 3 4 7" xfId="2757" xr:uid="{00000000-0005-0000-0000-0000E7210000}"/>
    <cellStyle name="Note 3 4 8" xfId="2838" xr:uid="{00000000-0005-0000-0000-0000E8210000}"/>
    <cellStyle name="Note 3 4 8 2" xfId="7061" xr:uid="{00000000-0005-0000-0000-0000E9210000}"/>
    <cellStyle name="Note 3 4 8 2 2" xfId="15511" xr:uid="{C914B3F9-305D-4B03-BBEF-341431BA2921}"/>
    <cellStyle name="Note 3 4 8 2 3" xfId="23951" xr:uid="{038233A1-8B35-4904-BC01-16FEECA2D8A6}"/>
    <cellStyle name="Note 3 4 8 3" xfId="11293" xr:uid="{BF6B49F6-65B0-4D88-84C5-266AC08233EF}"/>
    <cellStyle name="Note 3 4 8 4" xfId="19734" xr:uid="{09B8F407-9598-4826-9A64-4B3D779A7BE1}"/>
    <cellStyle name="Note 3 4 9" xfId="4916" xr:uid="{00000000-0005-0000-0000-0000EA210000}"/>
    <cellStyle name="Note 3 4 9 2" xfId="13366" xr:uid="{A5622F68-B83A-4592-AA7E-94F576A82E21}"/>
    <cellStyle name="Note 3 4 9 3" xfId="21806" xr:uid="{E0BC4F0B-7DFF-425E-B99C-14F316A032B3}"/>
    <cellStyle name="Note 3 5" xfId="561" xr:uid="{00000000-0005-0000-0000-0000EB210000}"/>
    <cellStyle name="Note 3 5 10" xfId="9149" xr:uid="{891E2F26-F939-4958-A7CC-415DEA6B662D}"/>
    <cellStyle name="Note 3 5 11" xfId="17590" xr:uid="{9A033902-7970-4E60-A650-C8AA82127B32}"/>
    <cellStyle name="Note 3 5 2" xfId="1021" xr:uid="{00000000-0005-0000-0000-0000EC210000}"/>
    <cellStyle name="Note 3 5 2 2" xfId="3253" xr:uid="{00000000-0005-0000-0000-0000ED210000}"/>
    <cellStyle name="Note 3 5 2 2 2" xfId="7475" xr:uid="{00000000-0005-0000-0000-0000EE210000}"/>
    <cellStyle name="Note 3 5 2 2 2 2" xfId="15925" xr:uid="{902B6FCB-CB33-463C-94C9-874A0CD9ACE8}"/>
    <cellStyle name="Note 3 5 2 2 2 3" xfId="24365" xr:uid="{BEAD6268-9FAD-4A50-A356-AB7623AC01C4}"/>
    <cellStyle name="Note 3 5 2 2 3" xfId="11707" xr:uid="{DFCCC93B-44C4-4CD9-AF3B-3E2C3B27085D}"/>
    <cellStyle name="Note 3 5 2 2 4" xfId="20148" xr:uid="{0D7363D5-D3B7-49D4-8325-FF0DB8067120}"/>
    <cellStyle name="Note 3 5 2 3" xfId="5330" xr:uid="{00000000-0005-0000-0000-0000EF210000}"/>
    <cellStyle name="Note 3 5 2 3 2" xfId="13780" xr:uid="{F01A3253-1874-4783-A0AC-8759DB5F1319}"/>
    <cellStyle name="Note 3 5 2 3 3" xfId="22220" xr:uid="{67A655E9-45A1-42E2-92C9-17B37D449ECC}"/>
    <cellStyle name="Note 3 5 2 4" xfId="9562" xr:uid="{0952B0E3-F5A9-48CB-A70B-B2665AA26060}"/>
    <cellStyle name="Note 3 5 2 5" xfId="18003" xr:uid="{C2A122CF-6026-487E-AD4D-8CBD183E9936}"/>
    <cellStyle name="Note 3 5 3" xfId="1436" xr:uid="{00000000-0005-0000-0000-0000F0210000}"/>
    <cellStyle name="Note 3 5 3 2" xfId="3666" xr:uid="{00000000-0005-0000-0000-0000F1210000}"/>
    <cellStyle name="Note 3 5 3 2 2" xfId="7888" xr:uid="{00000000-0005-0000-0000-0000F2210000}"/>
    <cellStyle name="Note 3 5 3 2 2 2" xfId="16338" xr:uid="{99225A83-114B-4754-A2E0-5B12FDA77E3C}"/>
    <cellStyle name="Note 3 5 3 2 2 3" xfId="24778" xr:uid="{C157296E-62E9-478A-9897-5696DBA6C6C0}"/>
    <cellStyle name="Note 3 5 3 2 3" xfId="12120" xr:uid="{0190C601-C6B9-486D-8417-A3B31C4BD099}"/>
    <cellStyle name="Note 3 5 3 2 4" xfId="20561" xr:uid="{D7E8A509-609C-4B83-9578-740D6CC9A7AF}"/>
    <cellStyle name="Note 3 5 3 3" xfId="5743" xr:uid="{00000000-0005-0000-0000-0000F3210000}"/>
    <cellStyle name="Note 3 5 3 3 2" xfId="14193" xr:uid="{CD0AAE3D-8643-48D9-A7C3-055CE72020C3}"/>
    <cellStyle name="Note 3 5 3 3 3" xfId="22633" xr:uid="{6B2ACDB4-802B-4D25-8CD4-29EB86602907}"/>
    <cellStyle name="Note 3 5 3 4" xfId="9975" xr:uid="{D2E01CB3-237E-4D50-9971-7E4C34162771}"/>
    <cellStyle name="Note 3 5 3 5" xfId="18416" xr:uid="{FB1AD2A6-B24C-40E0-B242-9E907640428D}"/>
    <cellStyle name="Note 3 5 4" xfId="1850" xr:uid="{00000000-0005-0000-0000-0000F4210000}"/>
    <cellStyle name="Note 3 5 4 2" xfId="4079" xr:uid="{00000000-0005-0000-0000-0000F5210000}"/>
    <cellStyle name="Note 3 5 4 2 2" xfId="8301" xr:uid="{00000000-0005-0000-0000-0000F6210000}"/>
    <cellStyle name="Note 3 5 4 2 2 2" xfId="16751" xr:uid="{4E4B382E-9A3F-419E-95FA-E7980BCB0451}"/>
    <cellStyle name="Note 3 5 4 2 2 3" xfId="25191" xr:uid="{0F4B099B-8A61-45C2-8E64-E1B8D890E959}"/>
    <cellStyle name="Note 3 5 4 2 3" xfId="12533" xr:uid="{E478268C-2B4A-457D-95E4-3D898648C45F}"/>
    <cellStyle name="Note 3 5 4 2 4" xfId="20974" xr:uid="{CAF73C6D-E90C-4A2E-A1D1-93958B5A0716}"/>
    <cellStyle name="Note 3 5 4 3" xfId="6156" xr:uid="{00000000-0005-0000-0000-0000F7210000}"/>
    <cellStyle name="Note 3 5 4 3 2" xfId="14606" xr:uid="{1BFDFFE2-DFC1-4352-99A1-DD0D9554C582}"/>
    <cellStyle name="Note 3 5 4 3 3" xfId="23046" xr:uid="{BC2E6BD1-B188-4968-9FEA-2026243776E3}"/>
    <cellStyle name="Note 3 5 4 4" xfId="10388" xr:uid="{45584860-2BDA-4651-968D-6B4D5A07AF07}"/>
    <cellStyle name="Note 3 5 4 5" xfId="18829" xr:uid="{3FECA1C5-BEB3-46C8-9E8B-A83795F1A938}"/>
    <cellStyle name="Note 3 5 5" xfId="2263" xr:uid="{00000000-0005-0000-0000-0000F8210000}"/>
    <cellStyle name="Note 3 5 5 2" xfId="4492" xr:uid="{00000000-0005-0000-0000-0000F9210000}"/>
    <cellStyle name="Note 3 5 5 2 2" xfId="8714" xr:uid="{00000000-0005-0000-0000-0000FA210000}"/>
    <cellStyle name="Note 3 5 5 2 2 2" xfId="17164" xr:uid="{3E2C1A7E-A4F1-4EBE-A648-A1D9112FC0C3}"/>
    <cellStyle name="Note 3 5 5 2 2 3" xfId="25604" xr:uid="{8A2F5E0F-B84E-4D01-8E5D-8ED654190855}"/>
    <cellStyle name="Note 3 5 5 2 3" xfId="12946" xr:uid="{73BF6764-B4A8-40D9-B75E-E90812B35ACA}"/>
    <cellStyle name="Note 3 5 5 2 4" xfId="21387" xr:uid="{34956676-91BA-4EC3-A493-F9F46180787D}"/>
    <cellStyle name="Note 3 5 5 3" xfId="6569" xr:uid="{00000000-0005-0000-0000-0000FB210000}"/>
    <cellStyle name="Note 3 5 5 3 2" xfId="15019" xr:uid="{C2CD0E33-9F5F-4C09-B9CC-716B94EA2B91}"/>
    <cellStyle name="Note 3 5 5 3 3" xfId="23459" xr:uid="{8F001A5B-EB74-4567-851A-57C66524FE11}"/>
    <cellStyle name="Note 3 5 5 4" xfId="10801" xr:uid="{E3E9F561-59D7-4ACC-AF97-94D194951A0B}"/>
    <cellStyle name="Note 3 5 5 5" xfId="19242" xr:uid="{AE1EEDB6-CFF1-4E4F-8E3D-61591544AE54}"/>
    <cellStyle name="Note 3 5 6" xfId="2699" xr:uid="{00000000-0005-0000-0000-0000FC210000}"/>
    <cellStyle name="Note 3 5 6 2" xfId="6982" xr:uid="{00000000-0005-0000-0000-0000FD210000}"/>
    <cellStyle name="Note 3 5 6 2 2" xfId="15432" xr:uid="{B0E3A4C5-D317-4269-9271-BAC23A37EBE9}"/>
    <cellStyle name="Note 3 5 6 2 3" xfId="23872" xr:uid="{2565A255-0D4A-4CD5-B4BD-37F3DBA8917F}"/>
    <cellStyle name="Note 3 5 6 3" xfId="11214" xr:uid="{EB9AE4EE-EAC8-4FAE-BAE5-F5FBF597E6EB}"/>
    <cellStyle name="Note 3 5 6 4" xfId="19655" xr:uid="{FDF20015-4C06-4936-95D9-D4F7891DD358}"/>
    <cellStyle name="Note 3 5 7" xfId="2758" xr:uid="{00000000-0005-0000-0000-0000FE210000}"/>
    <cellStyle name="Note 3 5 8" xfId="2839" xr:uid="{00000000-0005-0000-0000-0000FF210000}"/>
    <cellStyle name="Note 3 5 8 2" xfId="7062" xr:uid="{00000000-0005-0000-0000-000000220000}"/>
    <cellStyle name="Note 3 5 8 2 2" xfId="15512" xr:uid="{2DFB923A-0048-4561-BE0F-AA03D2400868}"/>
    <cellStyle name="Note 3 5 8 2 3" xfId="23952" xr:uid="{6EC44EA8-1C3B-4E37-A633-4AC253965BF2}"/>
    <cellStyle name="Note 3 5 8 3" xfId="11294" xr:uid="{D00324A7-7DD3-4287-BC87-00DC1DB92423}"/>
    <cellStyle name="Note 3 5 8 4" xfId="19735" xr:uid="{D2E2869F-F0B9-4E19-AF15-FF859ED6358F}"/>
    <cellStyle name="Note 3 5 9" xfId="4917" xr:uid="{00000000-0005-0000-0000-000001220000}"/>
    <cellStyle name="Note 3 5 9 2" xfId="13367" xr:uid="{3C2F8D08-D18C-4F6B-B9AB-4A0843B15B2D}"/>
    <cellStyle name="Note 3 5 9 3" xfId="21807" xr:uid="{CCBA8E26-DC69-4044-AAC4-644BE43053F4}"/>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AA41B21F-0879-4AFD-800B-5F66A4AB8EF6}"/>
    <cellStyle name="Percent 3 3" xfId="21390" xr:uid="{BF462268-B725-4582-99CB-58C647D248AE}"/>
    <cellStyle name="Percent 4" xfId="4502" xr:uid="{00000000-0005-0000-0000-000007220000}"/>
    <cellStyle name="Percent 4 2" xfId="8717" xr:uid="{00000000-0005-0000-0000-000008220000}"/>
    <cellStyle name="Percent 4 2 2" xfId="17167" xr:uid="{149BC24C-1164-4B1C-8E5E-73F5453827ED}"/>
    <cellStyle name="Percent 4 2 3" xfId="25607" xr:uid="{817A9EA3-28B6-4C3D-BCA5-0F0DF8822B7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82A0A601-1618-4E8B-8FEB-4793696589DF}"/>
    <cellStyle name="Percent 4 3 2 2 4" xfId="25616" xr:uid="{C8C1C1F0-F654-4DB1-8A0A-8BF2C321B847}"/>
    <cellStyle name="Percent 4 3 2 3" xfId="17173" xr:uid="{CDF8784E-CF74-4B83-83A4-DB90BB0AEC63}"/>
    <cellStyle name="Percent 4 3 2 4" xfId="25613" xr:uid="{B2688F99-ADA7-448D-B451-348696E77CA9}"/>
    <cellStyle name="Percent 4 3 3" xfId="17170" xr:uid="{915DE4EC-1C38-4D39-A043-F48F8FF9773B}"/>
    <cellStyle name="Percent 4 3 4" xfId="25610" xr:uid="{892DC45B-2590-42C0-B7F8-C14FED11B935}"/>
    <cellStyle name="Percent 4 4" xfId="12953" xr:uid="{7FD5023D-C2AB-427C-89C7-F2F93F363C24}"/>
    <cellStyle name="Percent 4 5" xfId="21393" xr:uid="{A78946C2-6CA6-4C94-AB2F-5C6AD126C4F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2" workbookViewId="0">
      <selection activeCell="J18" sqref="J18:AK18"/>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466</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1258</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5" t="s">
        <v>1585</v>
      </c>
      <c r="B1" s="2665"/>
      <c r="C1" s="2665"/>
      <c r="D1" s="2665"/>
      <c r="E1" s="2665"/>
      <c r="F1" s="2665"/>
      <c r="G1" s="2665"/>
      <c r="H1" s="2665"/>
      <c r="I1" s="2665"/>
      <c r="J1" s="2665"/>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16595704</v>
      </c>
      <c r="I3" s="1107"/>
    </row>
    <row r="4" spans="1:13" s="1052" customFormat="1" ht="20.149999999999999" customHeight="1">
      <c r="B4" s="1096"/>
      <c r="D4" s="1110"/>
      <c r="F4" s="1094" t="s">
        <v>1993</v>
      </c>
      <c r="G4" s="1093" t="s">
        <v>1992</v>
      </c>
      <c r="H4" s="1095">
        <f>I18</f>
        <v>18719972.308333334</v>
      </c>
      <c r="I4" s="1097"/>
      <c r="K4" s="1056"/>
    </row>
    <row r="5" spans="1:13" s="1052" customFormat="1" ht="20.149999999999999" customHeight="1" thickBot="1">
      <c r="B5" s="1098"/>
      <c r="C5" s="1099"/>
      <c r="D5" s="1111"/>
      <c r="E5" s="1100"/>
      <c r="F5" s="1111" t="s">
        <v>1942</v>
      </c>
      <c r="G5" s="1112"/>
      <c r="H5" s="1108">
        <f>IFERROR(H3/H4,0)</f>
        <v>0.88652396096827024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8" t="s">
        <v>1940</v>
      </c>
      <c r="C8" s="2669"/>
      <c r="D8" s="2669"/>
      <c r="E8" s="2670"/>
      <c r="G8" s="2671" t="s">
        <v>1941</v>
      </c>
      <c r="H8" s="2672"/>
      <c r="I8" s="2673"/>
      <c r="K8" s="1058"/>
    </row>
    <row r="9" spans="1:13" ht="15" customHeight="1">
      <c r="A9" s="1047"/>
      <c r="B9" s="2666" t="s">
        <v>1974</v>
      </c>
      <c r="C9" s="2666"/>
      <c r="D9" s="2666"/>
      <c r="E9" s="1060">
        <f>G33</f>
        <v>3962500</v>
      </c>
      <c r="G9" s="2674" t="s">
        <v>1972</v>
      </c>
      <c r="H9" s="2674"/>
      <c r="I9" s="1061">
        <f>Application!AM554</f>
        <v>21436286</v>
      </c>
      <c r="K9" s="1062"/>
      <c r="M9" s="1063"/>
    </row>
    <row r="10" spans="1:13" ht="15" customHeight="1" thickBot="1">
      <c r="A10" s="1047"/>
      <c r="B10" s="2666" t="s">
        <v>1975</v>
      </c>
      <c r="C10" s="2666"/>
      <c r="D10" s="2666"/>
      <c r="E10" s="1061">
        <f>G47</f>
        <v>7756704.0000000009</v>
      </c>
      <c r="G10" s="2678" t="s">
        <v>1943</v>
      </c>
      <c r="H10" s="2678"/>
      <c r="I10" s="1142">
        <f>'Basis &amp; Credits'!AB78</f>
        <v>0</v>
      </c>
      <c r="M10" s="1063"/>
    </row>
    <row r="11" spans="1:13" ht="15" customHeight="1">
      <c r="A11" s="1047"/>
      <c r="B11" s="2682" t="s">
        <v>2266</v>
      </c>
      <c r="C11" s="2683"/>
      <c r="D11" s="2684"/>
      <c r="E11" s="1061">
        <f>SUM(E12,E13)</f>
        <v>280000</v>
      </c>
      <c r="G11" s="2681" t="s">
        <v>1983</v>
      </c>
      <c r="H11" s="2681"/>
      <c r="I11" s="1141">
        <f>I9+I10</f>
        <v>21436286</v>
      </c>
      <c r="M11" s="1063"/>
    </row>
    <row r="12" spans="1:13" ht="15" customHeight="1">
      <c r="A12" s="1064"/>
      <c r="B12" s="2667" t="s">
        <v>2268</v>
      </c>
      <c r="C12" s="2667"/>
      <c r="D12" s="2667"/>
      <c r="E12" s="1167">
        <f>G56</f>
        <v>0</v>
      </c>
      <c r="M12" s="1063"/>
    </row>
    <row r="13" spans="1:13" ht="15" customHeight="1">
      <c r="A13" s="1050"/>
      <c r="B13" s="2667" t="s">
        <v>2269</v>
      </c>
      <c r="C13" s="2667"/>
      <c r="D13" s="2667"/>
      <c r="E13" s="1167">
        <f>G65</f>
        <v>280000</v>
      </c>
      <c r="G13" s="2671" t="s">
        <v>2007</v>
      </c>
      <c r="H13" s="2672"/>
      <c r="I13" s="2673"/>
      <c r="M13" s="1063"/>
    </row>
    <row r="14" spans="1:13" ht="15" customHeight="1">
      <c r="A14" s="1050"/>
      <c r="B14" s="2682" t="s">
        <v>2267</v>
      </c>
      <c r="C14" s="2683"/>
      <c r="D14" s="2684"/>
      <c r="E14" s="1169">
        <f>MAX(E15,E16)+E17</f>
        <v>4596500</v>
      </c>
      <c r="G14" s="2674" t="s">
        <v>139</v>
      </c>
      <c r="H14" s="2674"/>
      <c r="I14" s="1065">
        <f>15%*(AND(G120="Yes",G122&lt;&gt;""))</f>
        <v>0.15</v>
      </c>
      <c r="M14" s="1063"/>
    </row>
    <row r="15" spans="1:13" ht="15" customHeight="1">
      <c r="A15" s="1050"/>
      <c r="B15" s="2685" t="s">
        <v>2273</v>
      </c>
      <c r="C15" s="2686"/>
      <c r="D15" s="2687"/>
      <c r="E15" s="1167">
        <f>G80</f>
        <v>2377500</v>
      </c>
      <c r="G15" s="1139" t="s">
        <v>1984</v>
      </c>
      <c r="H15" s="1139"/>
      <c r="I15" s="1065">
        <f>IF(Application!AJ1032&gt;0,10%,IF(Application!AJ1036&gt;0,5%,0))</f>
        <v>0</v>
      </c>
      <c r="M15" s="1063"/>
    </row>
    <row r="16" spans="1:13" ht="15" customHeight="1">
      <c r="A16" s="1050"/>
      <c r="B16" s="2685" t="s">
        <v>2272</v>
      </c>
      <c r="C16" s="2686"/>
      <c r="D16" s="2687"/>
      <c r="E16" s="1167">
        <f>G90</f>
        <v>0</v>
      </c>
      <c r="G16" s="2674" t="s">
        <v>1985</v>
      </c>
      <c r="H16" s="2674"/>
      <c r="I16" s="1065">
        <f>G132</f>
        <v>-2.3284313725490197E-2</v>
      </c>
    </row>
    <row r="17" spans="1:21" ht="15" customHeight="1" thickBot="1">
      <c r="A17" s="1050"/>
      <c r="B17" s="2685" t="s">
        <v>2271</v>
      </c>
      <c r="C17" s="2686"/>
      <c r="D17" s="2687"/>
      <c r="E17" s="1167">
        <f>G115</f>
        <v>2219000</v>
      </c>
      <c r="G17" s="2674" t="s">
        <v>2281</v>
      </c>
      <c r="H17" s="2674"/>
      <c r="I17" s="1065">
        <f>IF(AND(G139="Yes",OR(G136,G137)),IF(G143&gt;15%,15%,G143),0)</f>
        <v>0</v>
      </c>
    </row>
    <row r="18" spans="1:21" ht="15" customHeight="1">
      <c r="A18" s="1047"/>
      <c r="B18" s="2677" t="s">
        <v>1939</v>
      </c>
      <c r="C18" s="2677"/>
      <c r="D18" s="2677"/>
      <c r="E18" s="1113">
        <f>SUM(E9:E11,E14)</f>
        <v>16595704</v>
      </c>
      <c r="G18" s="1140" t="s">
        <v>1973</v>
      </c>
      <c r="H18" s="1140"/>
      <c r="I18" s="1114">
        <f>I11-((I11*I14)+(I11*I15)+(I11*I16)+(I11*I17))</f>
        <v>18719972.308333334</v>
      </c>
      <c r="M18" s="1066">
        <f>SUM(Cdlac[Quantity])</f>
        <v>63</v>
      </c>
      <c r="O18" s="1086" t="s">
        <v>582</v>
      </c>
      <c r="P18" s="1045">
        <f>MATCH(Application!T189,Application!CB160:CB217,0)</f>
        <v>4</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3</v>
      </c>
      <c r="N20" s="1072">
        <f>Application!AC718</f>
        <v>0.3</v>
      </c>
      <c r="O20" s="1072">
        <f>IF(Cdlac[[#This Row],[Quantity]]&gt;0,IF(Cdlac[[#This Row],[Federal]],30%,IF(AND(OR(NOT($G$38),$G$38=""),$G$43),40%,Cdlac[[#This Row],[iAMI]])),"")</f>
        <v>0.3</v>
      </c>
      <c r="P20" s="1066" cm="1">
        <f t="array" ref="P20">IF(Cdlac[[#This Row],[Quantity]]&gt;0,INDEX(TcacRents,$P$18,Cdlac[[#This Row],[Bedrooms]]+1)*Cdlac[[#This Row],[AMI]],"")</f>
        <v>510</v>
      </c>
      <c r="Q20" s="1166"/>
      <c r="R20" s="1066" cm="1">
        <f t="array" ref="R20">IF(Cdlac[[#This Row],[Quantity]]&gt;0,INDEX(HudFmrs,$P$18,Cdlac[[#This Row],[Bedrooms]]+1),"")</f>
        <v>1091</v>
      </c>
      <c r="S20" s="1066">
        <f>IF(Cdlac[[#This Row],[Quantity]]&gt;0,MAX(0,Cdlac[[#This Row],[Fair Market Rent]]-IF(AND($G$37,$G$38,$G$38&lt;&gt;"",NOT(Cdlac[[#This Row],[Federal]]),Cdlac[[#This Row],[Preservation Rent]]&lt;&gt;""),Cdlac[[#This Row],[Preservation Rent]],Cdlac[[#This Row],[Restricted Rent]])),"")</f>
        <v>581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6</v>
      </c>
      <c r="N21" s="1072">
        <f>Application!AC719</f>
        <v>0.4</v>
      </c>
      <c r="O21" s="1072">
        <f>IF(Cdlac[[#This Row],[Quantity]]&gt;0,IF(Cdlac[[#This Row],[Federal]],30%,IF(AND(OR(NOT($G$38),$G$38=""),$G$43),40%,Cdlac[[#This Row],[iAMI]])),"")</f>
        <v>0.4</v>
      </c>
      <c r="P21" s="1066" cm="1">
        <f t="array" ref="P21">IF(Cdlac[[#This Row],[Quantity]]&gt;0,INDEX(TcacRents,$P$18,Cdlac[[#This Row],[Bedrooms]]+1)*Cdlac[[#This Row],[AMI]],"")</f>
        <v>680</v>
      </c>
      <c r="Q21" s="1166"/>
      <c r="R21" s="1066" cm="1">
        <f t="array" ref="R21">IF(Cdlac[[#This Row],[Quantity]]&gt;0,INDEX(HudFmrs,$P$18,Cdlac[[#This Row],[Bedrooms]]+1),"")</f>
        <v>1091</v>
      </c>
      <c r="S21" s="1066">
        <f>IF(Cdlac[[#This Row],[Quantity]]&gt;0,MAX(0,Cdlac[[#This Row],[Fair Market Rent]]-IF(AND($G$37,$G$38,$G$38&lt;&gt;"",NOT(Cdlac[[#This Row],[Federal]]),Cdlac[[#This Row],[Preservation Rent]]&lt;&gt;""),Cdlac[[#This Row],[Preservation Rent]],Cdlac[[#This Row],[Restricted Rent]])),"")</f>
        <v>411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75" t="s">
        <v>1987</v>
      </c>
      <c r="D22" s="2675" t="s">
        <v>1988</v>
      </c>
      <c r="E22" s="2675" t="s">
        <v>1989</v>
      </c>
      <c r="F22" s="2675" t="s">
        <v>1990</v>
      </c>
      <c r="G22" s="2675" t="s">
        <v>1986</v>
      </c>
      <c r="H22" s="1071"/>
      <c r="I22" s="1070"/>
      <c r="L22" s="1045">
        <f>IFERROR(MIN(4,MATCH(Application!B720,UnitSizes,0)-1),"")</f>
        <v>1</v>
      </c>
      <c r="M22" s="1066">
        <f>Application!G720</f>
        <v>5</v>
      </c>
      <c r="N22" s="1072">
        <f>Application!AC720</f>
        <v>0.5</v>
      </c>
      <c r="O22" s="1072">
        <f>IF(Cdlac[[#This Row],[Quantity]]&gt;0,IF(Cdlac[[#This Row],[Federal]],30%,IF(AND(OR(NOT($G$38),$G$38=""),$G$43),40%,Cdlac[[#This Row],[iAMI]])),"")</f>
        <v>0.5</v>
      </c>
      <c r="P22" s="1066" cm="1">
        <f t="array" ref="P22">IF(Cdlac[[#This Row],[Quantity]]&gt;0,INDEX(TcacRents,$P$18,Cdlac[[#This Row],[Bedrooms]]+1)*Cdlac[[#This Row],[AMI]],"")</f>
        <v>850</v>
      </c>
      <c r="Q22" s="1166"/>
      <c r="R22" s="1066" cm="1">
        <f t="array" ref="R22">IF(Cdlac[[#This Row],[Quantity]]&gt;0,INDEX(HudFmrs,$P$18,Cdlac[[#This Row],[Bedrooms]]+1),"")</f>
        <v>1091</v>
      </c>
      <c r="S22" s="1066">
        <f>IF(Cdlac[[#This Row],[Quantity]]&gt;0,MAX(0,Cdlac[[#This Row],[Fair Market Rent]]-IF(AND($G$37,$G$38,$G$38&lt;&gt;"",NOT(Cdlac[[#This Row],[Federal]]),Cdlac[[#This Row],[Preservation Rent]]&lt;&gt;""),Cdlac[[#This Row],[Preservation Rent]],Cdlac[[#This Row],[Restricted Rent]])),"")</f>
        <v>241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76"/>
      <c r="D23" s="2676"/>
      <c r="E23" s="2676"/>
      <c r="F23" s="2676"/>
      <c r="G23" s="2676"/>
      <c r="H23" s="1071"/>
      <c r="I23" s="1070"/>
      <c r="L23" s="1045">
        <f>IFERROR(MIN(4,MATCH(Application!B721,UnitSizes,0)-1),"")</f>
        <v>2</v>
      </c>
      <c r="M23" s="1066">
        <f>Application!G721</f>
        <v>7</v>
      </c>
      <c r="N23" s="1072">
        <f>Application!AC721</f>
        <v>0.3</v>
      </c>
      <c r="O23" s="1072">
        <f>IF(Cdlac[[#This Row],[Quantity]]&gt;0,IF(Cdlac[[#This Row],[Federal]],30%,IF(AND(OR(NOT($G$38),$G$38=""),$G$43),40%,Cdlac[[#This Row],[iAMI]])),"")</f>
        <v>0.3</v>
      </c>
      <c r="P23" s="1066" cm="1">
        <f t="array" ref="P23">IF(Cdlac[[#This Row],[Quantity]]&gt;0,INDEX(TcacRents,$P$18,Cdlac[[#This Row],[Bedrooms]]+1)*Cdlac[[#This Row],[AMI]],"")</f>
        <v>612.6</v>
      </c>
      <c r="Q23" s="1166"/>
      <c r="R23" s="1066" cm="1">
        <f t="array" ref="R23">IF(Cdlac[[#This Row],[Quantity]]&gt;0,INDEX(HudFmrs,$P$18,Cdlac[[#This Row],[Bedrooms]]+1),"")</f>
        <v>1428</v>
      </c>
      <c r="S23" s="1066">
        <f>IF(Cdlac[[#This Row],[Quantity]]&gt;0,MAX(0,Cdlac[[#This Row],[Fair Market Rent]]-IF(AND($G$37,$G$38,$G$38&lt;&gt;"",NOT(Cdlac[[#This Row],[Federal]]),Cdlac[[#This Row],[Preservation Rent]]&lt;&gt;""),Cdlac[[#This Row],[Preservation Rent]],Cdlac[[#This Row],[Restricted Rent]])),"")</f>
        <v>815.4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21</v>
      </c>
      <c r="N24" s="1072">
        <f>Application!AC722</f>
        <v>0.4</v>
      </c>
      <c r="O24" s="1072">
        <f>IF(Cdlac[[#This Row],[Quantity]]&gt;0,IF(Cdlac[[#This Row],[Federal]],30%,IF(AND(OR(NOT($G$38),$G$38=""),$G$43),40%,Cdlac[[#This Row],[iAMI]])),"")</f>
        <v>0.4</v>
      </c>
      <c r="P24" s="1066" cm="1">
        <f t="array" ref="P24">IF(Cdlac[[#This Row],[Quantity]]&gt;0,INDEX(TcacRents,$P$18,Cdlac[[#This Row],[Bedrooms]]+1)*Cdlac[[#This Row],[AMI]],"")</f>
        <v>816.80000000000007</v>
      </c>
      <c r="Q24" s="1166"/>
      <c r="R24" s="1066" cm="1">
        <f t="array" ref="R24">IF(Cdlac[[#This Row],[Quantity]]&gt;0,INDEX(HudFmrs,$P$18,Cdlac[[#This Row],[Bedrooms]]+1),"")</f>
        <v>1428</v>
      </c>
      <c r="S24" s="1066">
        <f>IF(Cdlac[[#This Row],[Quantity]]&gt;0,MAX(0,Cdlac[[#This Row],[Fair Market Rent]]-IF(AND($G$37,$G$38,$G$38&lt;&gt;"",NOT(Cdlac[[#This Row],[Federal]]),Cdlac[[#This Row],[Preservation Rent]]&lt;&gt;""),Cdlac[[#This Row],[Preservation Rent]],Cdlac[[#This Row],[Restricted Rent]])),"")</f>
        <v>611.19999999999993</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14</v>
      </c>
      <c r="F25" s="1073">
        <f>E25</f>
        <v>14</v>
      </c>
      <c r="G25" s="1073">
        <f>D25*F25</f>
        <v>14</v>
      </c>
      <c r="L25" s="1045">
        <f>IFERROR(MIN(4,MATCH(Application!B723,UnitSizes,0)-1),"")</f>
        <v>2</v>
      </c>
      <c r="M25" s="1066">
        <f>Application!G723</f>
        <v>5</v>
      </c>
      <c r="N25" s="1072">
        <f>Application!AC723</f>
        <v>0.5</v>
      </c>
      <c r="O25" s="1072">
        <f>IF(Cdlac[[#This Row],[Quantity]]&gt;0,IF(Cdlac[[#This Row],[Federal]],30%,IF(AND(OR(NOT($G$38),$G$38=""),$G$43),40%,Cdlac[[#This Row],[iAMI]])),"")</f>
        <v>0.5</v>
      </c>
      <c r="P25" s="1066" cm="1">
        <f t="array" ref="P25">IF(Cdlac[[#This Row],[Quantity]]&gt;0,INDEX(TcacRents,$P$18,Cdlac[[#This Row],[Bedrooms]]+1)*Cdlac[[#This Row],[AMI]],"")</f>
        <v>1021</v>
      </c>
      <c r="Q25" s="1166"/>
      <c r="R25" s="1066" cm="1">
        <f t="array" ref="R25">IF(Cdlac[[#This Row],[Quantity]]&gt;0,INDEX(HudFmrs,$P$18,Cdlac[[#This Row],[Bedrooms]]+1),"")</f>
        <v>1428</v>
      </c>
      <c r="S25" s="1066">
        <f>IF(Cdlac[[#This Row],[Quantity]]&gt;0,MAX(0,Cdlac[[#This Row],[Fair Market Rent]]-IF(AND($G$37,$G$38,$G$38&lt;&gt;"",NOT(Cdlac[[#This Row],[Federal]]),Cdlac[[#This Row],[Preservation Rent]]&lt;&gt;""),Cdlac[[#This Row],[Preservation Rent]],Cdlac[[#This Row],[Restricted Rent]])),"")</f>
        <v>407</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33</v>
      </c>
      <c r="F26" s="1076">
        <f>SUM(E26:E28)-SUM(F27:F28)</f>
        <v>33</v>
      </c>
      <c r="G26" s="1073">
        <f>D26*F26</f>
        <v>41.25</v>
      </c>
      <c r="H26" s="1075"/>
      <c r="I26" s="1075"/>
      <c r="L26" s="1045">
        <f>IFERROR(MIN(4,MATCH(Application!B724,UnitSizes,0)-1),"")</f>
        <v>3</v>
      </c>
      <c r="M26" s="1066">
        <f>Application!G724</f>
        <v>4</v>
      </c>
      <c r="N26" s="1072">
        <f>Application!AC724</f>
        <v>0.3</v>
      </c>
      <c r="O26" s="1072">
        <f>IF(Cdlac[[#This Row],[Quantity]]&gt;0,IF(Cdlac[[#This Row],[Federal]],30%,IF(AND(OR(NOT($G$38),$G$38=""),$G$43),40%,Cdlac[[#This Row],[iAMI]])),"")</f>
        <v>0.3</v>
      </c>
      <c r="P26" s="1066" cm="1">
        <f t="array" ref="P26">IF(Cdlac[[#This Row],[Quantity]]&gt;0,INDEX(TcacRents,$P$18,Cdlac[[#This Row],[Bedrooms]]+1)*Cdlac[[#This Row],[AMI]],"")</f>
        <v>707.4</v>
      </c>
      <c r="Q26" s="1166"/>
      <c r="R26" s="1066" cm="1">
        <f t="array" ref="R26">IF(Cdlac[[#This Row],[Quantity]]&gt;0,INDEX(HudFmrs,$P$18,Cdlac[[#This Row],[Bedrooms]]+1),"")</f>
        <v>2012</v>
      </c>
      <c r="S26" s="1066">
        <f>IF(Cdlac[[#This Row],[Quantity]]&gt;0,MAX(0,Cdlac[[#This Row],[Fair Market Rent]]-IF(AND($G$37,$G$38,$G$38&lt;&gt;"",NOT(Cdlac[[#This Row],[Federal]]),Cdlac[[#This Row],[Preservation Rent]]&lt;&gt;""),Cdlac[[#This Row],[Preservation Rent]],Cdlac[[#This Row],[Restricted Rent]])),"")</f>
        <v>1304.5999999999999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16</v>
      </c>
      <c r="F27" s="1076">
        <f>MIN(E27,ROUNDDOWN(E29*30%,0))</f>
        <v>16</v>
      </c>
      <c r="G27" s="1073">
        <f>D27*F27</f>
        <v>24</v>
      </c>
      <c r="H27" s="1075"/>
      <c r="I27" s="1075"/>
      <c r="L27" s="1045">
        <f>IFERROR(MIN(4,MATCH(Application!B725,UnitSizes,0)-1),"")</f>
        <v>3</v>
      </c>
      <c r="M27" s="1066">
        <f>Application!G725</f>
        <v>8</v>
      </c>
      <c r="N27" s="1072">
        <f>Application!AC725</f>
        <v>0.4</v>
      </c>
      <c r="O27" s="1072">
        <f>IF(Cdlac[[#This Row],[Quantity]]&gt;0,IF(Cdlac[[#This Row],[Federal]],30%,IF(AND(OR(NOT($G$38),$G$38=""),$G$43),40%,Cdlac[[#This Row],[iAMI]])),"")</f>
        <v>0.4</v>
      </c>
      <c r="P27" s="1066" cm="1">
        <f t="array" ref="P27">IF(Cdlac[[#This Row],[Quantity]]&gt;0,INDEX(TcacRents,$P$18,Cdlac[[#This Row],[Bedrooms]]+1)*Cdlac[[#This Row],[AMI]],"")</f>
        <v>943.2</v>
      </c>
      <c r="Q27" s="1166"/>
      <c r="R27" s="1066" cm="1">
        <f t="array" ref="R27">IF(Cdlac[[#This Row],[Quantity]]&gt;0,INDEX(HudFmrs,$P$18,Cdlac[[#This Row],[Bedrooms]]+1),"")</f>
        <v>2012</v>
      </c>
      <c r="S27" s="1066">
        <f>IF(Cdlac[[#This Row],[Quantity]]&gt;0,MAX(0,Cdlac[[#This Row],[Fair Market Rent]]-IF(AND($G$37,$G$38,$G$38&lt;&gt;"",NOT(Cdlac[[#This Row],[Federal]]),Cdlac[[#This Row],[Preservation Rent]]&lt;&gt;""),Cdlac[[#This Row],[Preservation Rent]],Cdlac[[#This Row],[Restricted Rent]])),"")</f>
        <v>1068.8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4</v>
      </c>
      <c r="N28" s="1072">
        <f>Application!AC726</f>
        <v>0.5</v>
      </c>
      <c r="O28" s="1072">
        <f>IF(Cdlac[[#This Row],[Quantity]]&gt;0,IF(Cdlac[[#This Row],[Federal]],30%,IF(AND(OR(NOT($G$38),$G$38=""),$G$43),40%,Cdlac[[#This Row],[iAMI]])),"")</f>
        <v>0.5</v>
      </c>
      <c r="P28" s="1066" cm="1">
        <f t="array" ref="P28">IF(Cdlac[[#This Row],[Quantity]]&gt;0,INDEX(TcacRents,$P$18,Cdlac[[#This Row],[Bedrooms]]+1)*Cdlac[[#This Row],[AMI]],"")</f>
        <v>1179</v>
      </c>
      <c r="Q28" s="1166"/>
      <c r="R28" s="1066" cm="1">
        <f t="array" ref="R28">IF(Cdlac[[#This Row],[Quantity]]&gt;0,INDEX(HudFmrs,$P$18,Cdlac[[#This Row],[Bedrooms]]+1),"")</f>
        <v>2012</v>
      </c>
      <c r="S28" s="1066">
        <f>IF(Cdlac[[#This Row],[Quantity]]&gt;0,MAX(0,Cdlac[[#This Row],[Fair Market Rent]]-IF(AND($G$37,$G$38,$G$38&lt;&gt;"",NOT(Cdlac[[#This Row],[Federal]]),Cdlac[[#This Row],[Preservation Rent]]&lt;&gt;""),Cdlac[[#This Row],[Preservation Rent]],Cdlac[[#This Row],[Restricted Rent]])),"")</f>
        <v>833</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9" t="s">
        <v>1586</v>
      </c>
      <c r="D29" s="2690"/>
      <c r="E29" s="1091">
        <f>SUM(E24:E28)</f>
        <v>63</v>
      </c>
      <c r="F29" s="1091">
        <f>SUM(F24:F28)</f>
        <v>63</v>
      </c>
      <c r="G29" s="1092">
        <f>SUMPRODUCT(D24:D28,F24:F28)</f>
        <v>79.25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79.25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3962500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92" t="str">
        <f>IF(AND(G37,G38,G38&lt;&gt;""),"Enter the average rent charged for each unit type over the last three years, as documented with rent rolls or property audits, in cells Q20:Q44","")</f>
        <v/>
      </c>
      <c r="D39" s="2692"/>
      <c r="E39" s="2692"/>
      <c r="F39" s="2692"/>
      <c r="G39" s="2692"/>
      <c r="H39" s="2692"/>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92"/>
      <c r="D40" s="2692"/>
      <c r="E40" s="2692"/>
      <c r="F40" s="2692"/>
      <c r="G40" s="2692"/>
      <c r="H40" s="2692"/>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92"/>
      <c r="D41" s="2692"/>
      <c r="E41" s="2692"/>
      <c r="F41" s="2692"/>
      <c r="G41" s="2692"/>
      <c r="H41" s="2692"/>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0.39999999999999997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43092.800000000003</v>
      </c>
    </row>
    <row r="46" spans="1:21" ht="15" customHeight="1">
      <c r="E46" s="1119" t="s">
        <v>2006</v>
      </c>
      <c r="F46" s="1115" t="s">
        <v>1994</v>
      </c>
      <c r="G46" s="1123">
        <f>12*15</f>
        <v>180</v>
      </c>
    </row>
    <row r="47" spans="1:21" ht="15" customHeight="1">
      <c r="E47" s="1124" t="s">
        <v>1944</v>
      </c>
      <c r="F47" s="1047"/>
      <c r="G47" s="1125">
        <f>G45*G46</f>
        <v>7756704.0000000009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31</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14</v>
      </c>
    </row>
    <row r="61" spans="2:9" ht="15" customHeight="1">
      <c r="E61" s="1119" t="s">
        <v>1996</v>
      </c>
      <c r="G61" s="1080">
        <f>ROUNDDOWN(E29*50%,0)</f>
        <v>31</v>
      </c>
    </row>
    <row r="62" spans="2:9" ht="15" customHeight="1">
      <c r="E62" s="1119"/>
      <c r="G62" s="1080"/>
    </row>
    <row r="63" spans="2:9" ht="15" customHeight="1">
      <c r="E63" s="1119" t="s">
        <v>1955</v>
      </c>
      <c r="G63" s="1116">
        <f>MIN(G60:G61)</f>
        <v>14</v>
      </c>
    </row>
    <row r="64" spans="2:9" ht="15" customHeight="1">
      <c r="E64" s="1119" t="s">
        <v>1945</v>
      </c>
      <c r="F64" s="1115" t="s">
        <v>1994</v>
      </c>
      <c r="G64" s="1126">
        <v>20000</v>
      </c>
    </row>
    <row r="65" spans="2:14" ht="15" customHeight="1">
      <c r="E65" s="1120" t="s">
        <v>1977</v>
      </c>
      <c r="F65" s="1047"/>
      <c r="G65" s="1125">
        <f>G63*G64</f>
        <v>280000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Yes</v>
      </c>
    </row>
    <row r="71" spans="2:14" ht="15" customHeight="1" thickBot="1">
      <c r="C71" s="1078" t="s">
        <v>1968</v>
      </c>
      <c r="G71" s="1044" t="s">
        <v>669</v>
      </c>
    </row>
    <row r="72" spans="2:14" ht="15" customHeight="1">
      <c r="C72" s="1078" t="s">
        <v>1969</v>
      </c>
      <c r="G72" s="1045" t="str">
        <f>Application!T193</f>
        <v>Highest Resource</v>
      </c>
      <c r="L72" s="2662" t="s">
        <v>1970</v>
      </c>
      <c r="M72" s="2663"/>
      <c r="N72" s="1133">
        <v>30000</v>
      </c>
    </row>
    <row r="73" spans="2:14" ht="15" customHeight="1">
      <c r="C73" s="2664" t="s">
        <v>2265</v>
      </c>
      <c r="D73" s="2664"/>
      <c r="E73" s="2664"/>
      <c r="F73" s="2664"/>
      <c r="G73" s="1044"/>
      <c r="L73" s="2679" t="s">
        <v>1938</v>
      </c>
      <c r="M73" s="2680"/>
      <c r="N73" s="1134">
        <v>20000</v>
      </c>
    </row>
    <row r="74" spans="2:14" ht="15" customHeight="1" thickBot="1">
      <c r="C74" s="2664"/>
      <c r="D74" s="2664"/>
      <c r="E74" s="2664"/>
      <c r="F74" s="2664"/>
      <c r="L74" s="2654" t="s">
        <v>1971</v>
      </c>
      <c r="M74" s="2655"/>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79.25</v>
      </c>
    </row>
    <row r="80" spans="2:14" ht="15" customHeight="1">
      <c r="D80" s="1047"/>
      <c r="E80" s="1120" t="s">
        <v>2270</v>
      </c>
      <c r="F80" s="1047"/>
      <c r="G80" s="1125">
        <f>G79*G78*G76</f>
        <v>2377500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79.25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4</v>
      </c>
    </row>
    <row r="95" spans="2:9" ht="15" customHeight="1">
      <c r="E95" s="1086" t="s">
        <v>1945</v>
      </c>
      <c r="F95" s="1115" t="s">
        <v>1994</v>
      </c>
      <c r="G95" s="1077">
        <v>4000</v>
      </c>
    </row>
    <row r="96" spans="2:9" ht="15" customHeight="1" thickBot="1">
      <c r="E96" s="1086" t="s">
        <v>1998</v>
      </c>
      <c r="F96" s="1115" t="s">
        <v>1994</v>
      </c>
      <c r="G96" s="1128">
        <f>G29</f>
        <v>79.25</v>
      </c>
    </row>
    <row r="97" spans="2:14" ht="15" customHeight="1">
      <c r="E97" s="1120" t="s">
        <v>1962</v>
      </c>
      <c r="F97" s="1047"/>
      <c r="G97" s="1125">
        <f>G94*G95*G96</f>
        <v>1268000</v>
      </c>
      <c r="L97" s="1129" t="str">
        <f>'Points System'!H638</f>
        <v>(i)</v>
      </c>
      <c r="M97" s="2660" t="s">
        <v>1405</v>
      </c>
      <c r="N97" s="2661"/>
    </row>
    <row r="98" spans="2:14" ht="15" customHeight="1">
      <c r="C98" s="1078"/>
      <c r="G98" s="1116"/>
      <c r="L98" s="1130" t="str">
        <f>'Points System'!H650</f>
        <v>N/A</v>
      </c>
      <c r="M98" s="2656" t="s">
        <v>1957</v>
      </c>
      <c r="N98" s="2657"/>
    </row>
    <row r="99" spans="2:14" ht="15" customHeight="1">
      <c r="E99" s="1086" t="s">
        <v>1999</v>
      </c>
      <c r="G99" s="1128">
        <f>COUNTIFS(L97:L104,"(i)")</f>
        <v>3</v>
      </c>
      <c r="L99" s="1130" t="str">
        <f>'Points System'!H685</f>
        <v>(ii)</v>
      </c>
      <c r="M99" s="2656" t="s">
        <v>1958</v>
      </c>
      <c r="N99" s="2657"/>
    </row>
    <row r="100" spans="2:14" ht="15" customHeight="1">
      <c r="E100" s="1086" t="s">
        <v>1945</v>
      </c>
      <c r="F100" s="1115" t="s">
        <v>1994</v>
      </c>
      <c r="G100" s="1126">
        <v>4000</v>
      </c>
      <c r="L100" s="1130" t="str">
        <f>IF(OR('Points System'!H709="(ii)",'Points System'!H709="(i)"),"(i)","N/A")</f>
        <v>(i)</v>
      </c>
      <c r="M100" s="2656" t="s">
        <v>1959</v>
      </c>
      <c r="N100" s="2657"/>
    </row>
    <row r="101" spans="2:14" ht="15" customHeight="1">
      <c r="E101" s="1120" t="s">
        <v>1963</v>
      </c>
      <c r="F101" s="1047"/>
      <c r="G101" s="1125">
        <f>G96*G99*G100</f>
        <v>951000</v>
      </c>
      <c r="L101" s="1131" t="str">
        <f>'Points System'!H723</f>
        <v>N/A</v>
      </c>
      <c r="M101" s="2656" t="s">
        <v>1431</v>
      </c>
      <c r="N101" s="2657"/>
    </row>
    <row r="102" spans="2:14" ht="15" customHeight="1">
      <c r="L102" s="1130" t="str">
        <f>'Points System'!H735</f>
        <v>N/A</v>
      </c>
      <c r="M102" s="2656" t="s">
        <v>1960</v>
      </c>
      <c r="N102" s="2657"/>
    </row>
    <row r="103" spans="2:14" ht="15" customHeight="1">
      <c r="C103" s="1081" t="s">
        <v>1965</v>
      </c>
      <c r="L103" s="1130" t="str">
        <f>'Points System'!H751</f>
        <v>N/A</v>
      </c>
      <c r="M103" s="2656" t="s">
        <v>1961</v>
      </c>
      <c r="N103" s="2657"/>
    </row>
    <row r="104" spans="2:14" ht="15" customHeight="1" thickBot="1">
      <c r="C104" s="1078" t="s">
        <v>1966</v>
      </c>
      <c r="G104" s="1044"/>
      <c r="L104" s="1132" t="str">
        <f>'Points System'!H763</f>
        <v>(i)</v>
      </c>
      <c r="M104" s="2658" t="s">
        <v>1434</v>
      </c>
      <c r="N104" s="2659"/>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79.25</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2219000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91" t="s">
        <v>2230</v>
      </c>
      <c r="D119" s="2691"/>
      <c r="E119" s="2691"/>
      <c r="F119" s="2691"/>
    </row>
    <row r="120" spans="2:9" ht="15" customHeight="1">
      <c r="C120" s="2691"/>
      <c r="D120" s="2691"/>
      <c r="E120" s="2691"/>
      <c r="F120" s="2691"/>
      <c r="G120" s="1044" t="s">
        <v>545</v>
      </c>
    </row>
    <row r="121" spans="2:9" ht="15" customHeight="1"/>
    <row r="122" spans="2:9" ht="15" customHeight="1">
      <c r="C122" s="1045" t="s">
        <v>2232</v>
      </c>
      <c r="G122" s="2693" t="s">
        <v>2734</v>
      </c>
      <c r="H122" s="2693"/>
    </row>
    <row r="123" spans="2:9" ht="15" customHeight="1">
      <c r="G123" s="2693"/>
      <c r="H123" s="2693"/>
    </row>
    <row r="124" spans="2:9" ht="15" customHeight="1">
      <c r="G124" s="2694"/>
      <c r="H124" s="2694"/>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Butte</v>
      </c>
    </row>
    <row r="129" spans="2:9">
      <c r="E129" s="1086"/>
      <c r="G129" s="1079"/>
    </row>
    <row r="130" spans="2:9">
      <c r="E130" s="1086" t="str">
        <f>"2-Bedroom "&amp;G128&amp;" County Basis Limit"</f>
        <v>2-Bedroom Butte County Basis Limit</v>
      </c>
      <c r="G130" s="1079">
        <f>Application!R988</f>
        <v>444000</v>
      </c>
    </row>
    <row r="131" spans="2:9">
      <c r="E131" s="1086" t="s">
        <v>2002</v>
      </c>
      <c r="G131" s="1079">
        <f>MEDIAN((Application!CU160:CU217))</f>
        <v>489600</v>
      </c>
    </row>
    <row r="132" spans="2:9">
      <c r="D132" s="1047"/>
      <c r="E132" s="1120" t="s">
        <v>2004</v>
      </c>
      <c r="F132" s="1136"/>
      <c r="G132" s="1137">
        <f>((G130-G131)/G131)*0.25</f>
        <v>-2.3284313725490197E-2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88" t="s">
        <v>2278</v>
      </c>
      <c r="D138" s="2688"/>
      <c r="E138" s="2688"/>
      <c r="F138" s="2688"/>
    </row>
    <row r="139" spans="2:9">
      <c r="B139" s="1046"/>
      <c r="C139" s="2688"/>
      <c r="D139" s="2688"/>
      <c r="E139" s="2688"/>
      <c r="F139" s="2688"/>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3215442.9</v>
      </c>
    </row>
  </sheetData>
  <sheetProtection algorithmName="SHA-512" hashValue="wH2+3++/cQWvcAPSyNOVPvsVkfGyGtVw9Nwc6oJPFZH5sRAk2fzKgS4lArpoMyNRosrwF84Mn5S8n7Umva2IZA==" saltValue="xXvBNsKyN4tkVWOh3eYYG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10" sqref="N10"/>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5" t="s">
        <v>909</v>
      </c>
      <c r="B1" s="2695"/>
      <c r="C1" s="2695"/>
      <c r="D1" s="2695"/>
      <c r="E1" s="2695"/>
      <c r="F1" s="2695"/>
      <c r="G1" s="2695"/>
      <c r="H1" s="2695"/>
      <c r="I1" s="2695"/>
      <c r="J1" s="2695"/>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3</v>
      </c>
      <c r="C4" s="1164"/>
      <c r="D4" s="429">
        <f>Application!O718</f>
        <v>499</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6</v>
      </c>
      <c r="C5" s="1164"/>
      <c r="D5" s="429">
        <f>Application!O719</f>
        <v>669</v>
      </c>
      <c r="E5" s="430"/>
      <c r="F5" s="1085"/>
      <c r="G5" s="429">
        <f t="shared" ref="G5:G38" si="2">F5*B5</f>
        <v>0</v>
      </c>
      <c r="H5" s="430"/>
      <c r="I5" s="429" t="str">
        <f t="shared" si="0"/>
        <v/>
      </c>
      <c r="J5" s="429" t="str">
        <f t="shared" si="1"/>
        <v/>
      </c>
      <c r="K5" s="205"/>
      <c r="L5" s="306"/>
    </row>
    <row r="6" spans="1:12">
      <c r="A6" s="429" t="str">
        <f>Application!B720</f>
        <v>1 Bedroom</v>
      </c>
      <c r="B6" s="1084">
        <f>Application!G720</f>
        <v>5</v>
      </c>
      <c r="C6" s="1164"/>
      <c r="D6" s="429">
        <f>Application!O720</f>
        <v>839</v>
      </c>
      <c r="E6" s="430"/>
      <c r="F6" s="1085"/>
      <c r="G6" s="429">
        <f t="shared" si="2"/>
        <v>0</v>
      </c>
      <c r="H6" s="430"/>
      <c r="I6" s="429" t="str">
        <f t="shared" si="0"/>
        <v/>
      </c>
      <c r="J6" s="429" t="str">
        <f t="shared" si="1"/>
        <v/>
      </c>
      <c r="K6" s="205"/>
      <c r="L6" s="306"/>
    </row>
    <row r="7" spans="1:12">
      <c r="A7" s="429" t="str">
        <f>Application!B721</f>
        <v>2 Bedrooms</v>
      </c>
      <c r="B7" s="1084">
        <f>Application!G721</f>
        <v>7</v>
      </c>
      <c r="C7" s="1164"/>
      <c r="D7" s="429">
        <f>Application!O721</f>
        <v>601</v>
      </c>
      <c r="E7" s="430"/>
      <c r="F7" s="1085"/>
      <c r="G7" s="429">
        <f t="shared" si="2"/>
        <v>0</v>
      </c>
      <c r="H7" s="430"/>
      <c r="I7" s="429" t="str">
        <f t="shared" si="0"/>
        <v/>
      </c>
      <c r="J7" s="429" t="str">
        <f t="shared" si="1"/>
        <v/>
      </c>
      <c r="K7" s="205"/>
      <c r="L7" s="306"/>
    </row>
    <row r="8" spans="1:12">
      <c r="A8" s="429" t="str">
        <f>Application!B722</f>
        <v>2 Bedrooms</v>
      </c>
      <c r="B8" s="1084">
        <f>Application!G722</f>
        <v>21</v>
      </c>
      <c r="C8" s="1164"/>
      <c r="D8" s="429">
        <f>Application!O722</f>
        <v>806</v>
      </c>
      <c r="E8" s="430"/>
      <c r="F8" s="1085"/>
      <c r="G8" s="429">
        <f t="shared" si="2"/>
        <v>0</v>
      </c>
      <c r="H8" s="430"/>
      <c r="I8" s="429" t="str">
        <f t="shared" si="0"/>
        <v/>
      </c>
      <c r="J8" s="429" t="str">
        <f t="shared" si="1"/>
        <v/>
      </c>
      <c r="K8" s="205"/>
      <c r="L8" s="306"/>
    </row>
    <row r="9" spans="1:12">
      <c r="A9" s="429" t="str">
        <f>Application!B723</f>
        <v>2 Bedrooms</v>
      </c>
      <c r="B9" s="1084">
        <f>Application!G723</f>
        <v>5</v>
      </c>
      <c r="C9" s="1164"/>
      <c r="D9" s="429">
        <f>Application!O723</f>
        <v>1010</v>
      </c>
      <c r="E9" s="430"/>
      <c r="F9" s="1085"/>
      <c r="G9" s="429">
        <f t="shared" si="2"/>
        <v>0</v>
      </c>
      <c r="H9" s="430"/>
      <c r="I9" s="429" t="str">
        <f t="shared" si="0"/>
        <v/>
      </c>
      <c r="J9" s="429" t="str">
        <f t="shared" si="1"/>
        <v/>
      </c>
      <c r="K9" s="205"/>
      <c r="L9" s="306"/>
    </row>
    <row r="10" spans="1:12">
      <c r="A10" s="429" t="str">
        <f>Application!B724</f>
        <v>3 Bedrooms</v>
      </c>
      <c r="B10" s="1084">
        <f>Application!G724</f>
        <v>4</v>
      </c>
      <c r="C10" s="1164"/>
      <c r="D10" s="429">
        <f>Application!O724</f>
        <v>696</v>
      </c>
      <c r="E10" s="430"/>
      <c r="F10" s="1085"/>
      <c r="G10" s="429">
        <f t="shared" si="2"/>
        <v>0</v>
      </c>
      <c r="H10" s="430"/>
      <c r="I10" s="429" t="str">
        <f t="shared" si="0"/>
        <v/>
      </c>
      <c r="J10" s="429" t="str">
        <f t="shared" si="1"/>
        <v/>
      </c>
      <c r="K10" s="205"/>
      <c r="L10" s="306"/>
    </row>
    <row r="11" spans="1:12">
      <c r="A11" s="429" t="str">
        <f>Application!B725</f>
        <v>3 Bedrooms</v>
      </c>
      <c r="B11" s="1084">
        <f>Application!G725</f>
        <v>8</v>
      </c>
      <c r="C11" s="1164"/>
      <c r="D11" s="429">
        <f>Application!O725</f>
        <v>932</v>
      </c>
      <c r="E11" s="430"/>
      <c r="F11" s="1085"/>
      <c r="G11" s="429">
        <f t="shared" si="2"/>
        <v>0</v>
      </c>
      <c r="H11" s="430"/>
      <c r="I11" s="429" t="str">
        <f t="shared" si="0"/>
        <v/>
      </c>
      <c r="J11" s="429" t="str">
        <f t="shared" si="1"/>
        <v/>
      </c>
      <c r="K11" s="205"/>
      <c r="L11" s="306"/>
    </row>
    <row r="12" spans="1:12">
      <c r="A12" s="429" t="str">
        <f>Application!B726</f>
        <v>3 Bedrooms</v>
      </c>
      <c r="B12" s="1084">
        <f>Application!G726</f>
        <v>4</v>
      </c>
      <c r="C12" s="1164"/>
      <c r="D12" s="429">
        <f>Application!O726</f>
        <v>1168</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50801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6" t="s">
        <v>2499</v>
      </c>
      <c r="B43" s="2696"/>
      <c r="C43" s="2696"/>
      <c r="D43" s="2696"/>
      <c r="E43" s="2696"/>
      <c r="F43" s="2696"/>
      <c r="G43" s="2696"/>
      <c r="H43" s="2696"/>
      <c r="I43" s="2696"/>
      <c r="J43" s="2696"/>
    </row>
    <row r="44" spans="1:12">
      <c r="A44" s="2696"/>
      <c r="B44" s="2696"/>
      <c r="C44" s="2696"/>
      <c r="D44" s="2696"/>
      <c r="E44" s="2696"/>
      <c r="F44" s="2696"/>
      <c r="G44" s="2696"/>
      <c r="H44" s="2696"/>
      <c r="I44" s="2696"/>
      <c r="J44" s="2696"/>
    </row>
    <row r="45" spans="1:12">
      <c r="A45" s="2696" t="s">
        <v>2261</v>
      </c>
      <c r="B45" s="2696"/>
      <c r="C45" s="2696"/>
      <c r="D45" s="2696"/>
      <c r="E45" s="2696"/>
      <c r="F45" s="2696"/>
      <c r="G45" s="2696"/>
      <c r="H45" s="2696"/>
      <c r="I45" s="2696"/>
      <c r="J45" s="2696"/>
    </row>
    <row r="46" spans="1:12">
      <c r="A46" s="2696"/>
      <c r="B46" s="2696"/>
      <c r="C46" s="2696"/>
      <c r="D46" s="2696"/>
      <c r="E46" s="2696"/>
      <c r="F46" s="2696"/>
      <c r="G46" s="2696"/>
      <c r="H46" s="2696"/>
      <c r="I46" s="2696"/>
      <c r="J46" s="269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0" zoomScaleNormal="80" workbookViewId="0">
      <selection activeCell="U62" sqref="U6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609612</v>
      </c>
      <c r="G4" s="220">
        <f>E4*$C$4</f>
        <v>624852.29999999993</v>
      </c>
      <c r="I4" s="220">
        <f>G4*$C$4</f>
        <v>640473.60749999993</v>
      </c>
      <c r="K4" s="220">
        <f>I4*$C$4</f>
        <v>656485.44768749992</v>
      </c>
      <c r="M4" s="220">
        <f>K4*$C$4</f>
        <v>672897.58387968736</v>
      </c>
      <c r="O4" s="220">
        <f>M4*$C$4</f>
        <v>689720.02347667946</v>
      </c>
      <c r="Q4" s="220">
        <f>O4*$C$4</f>
        <v>706963.02406359639</v>
      </c>
      <c r="S4" s="220">
        <f>Q4*$C$4</f>
        <v>724637.09966518625</v>
      </c>
      <c r="U4" s="220">
        <f>S4*$C$4</f>
        <v>742753.02715681586</v>
      </c>
      <c r="W4" s="220">
        <f>U4*$C$4</f>
        <v>761321.85283573624</v>
      </c>
      <c r="Y4" s="220">
        <f>W4*$C$4</f>
        <v>780354.89915662957</v>
      </c>
      <c r="AA4" s="220">
        <f>Y4*$C$4</f>
        <v>799863.7716355453</v>
      </c>
      <c r="AC4" s="220">
        <f>AA4*$C$4</f>
        <v>819860.36592643382</v>
      </c>
      <c r="AE4" s="220">
        <f>AC4*$C$4</f>
        <v>840356.87507459463</v>
      </c>
      <c r="AG4" s="220">
        <f>AE4*$C$4</f>
        <v>861365.79695145937</v>
      </c>
    </row>
    <row r="5" spans="1:34" s="211" customFormat="1" ht="14">
      <c r="B5" s="211" t="s">
        <v>838</v>
      </c>
      <c r="C5" s="239">
        <f>IF(Application!$D$211="Special Needs",(((0.1*Application!$T$212)+(0.05*(1-Application!$T$212)))),0.05)</f>
        <v>0.05</v>
      </c>
      <c r="E5" s="222">
        <f>-E4*$C$5</f>
        <v>-30480.600000000002</v>
      </c>
      <c r="F5" s="222"/>
      <c r="G5" s="222">
        <f>-G4*$C$5</f>
        <v>-31242.614999999998</v>
      </c>
      <c r="H5" s="222"/>
      <c r="I5" s="222">
        <f>-I4*$C$5</f>
        <v>-32023.680374999996</v>
      </c>
      <c r="J5" s="222"/>
      <c r="K5" s="222">
        <f>-K4*$C$5</f>
        <v>-32824.272384374999</v>
      </c>
      <c r="L5" s="222"/>
      <c r="M5" s="222">
        <f>-M4*$C$5</f>
        <v>-33644.879193984372</v>
      </c>
      <c r="N5" s="222"/>
      <c r="O5" s="222">
        <f>-O4*$C$5</f>
        <v>-34486.001173833974</v>
      </c>
      <c r="P5" s="222"/>
      <c r="Q5" s="222">
        <f>-Q4*$C$5</f>
        <v>-35348.151203179819</v>
      </c>
      <c r="R5" s="222"/>
      <c r="S5" s="222">
        <f>-S4*$C$5</f>
        <v>-36231.854983259313</v>
      </c>
      <c r="T5" s="222"/>
      <c r="U5" s="222">
        <f>-U4*$C$5</f>
        <v>-37137.651357840798</v>
      </c>
      <c r="V5" s="222"/>
      <c r="W5" s="222">
        <f>-W4*$C$5</f>
        <v>-38066.09264178681</v>
      </c>
      <c r="X5" s="222"/>
      <c r="Y5" s="222">
        <f>-Y4*$C$5</f>
        <v>-39017.744957831477</v>
      </c>
      <c r="Z5" s="222"/>
      <c r="AA5" s="222">
        <f>-AA4*$C$5</f>
        <v>-39993.188581777271</v>
      </c>
      <c r="AB5" s="222"/>
      <c r="AC5" s="222">
        <f>-AC4*$C$5</f>
        <v>-40993.018296321694</v>
      </c>
      <c r="AD5" s="222"/>
      <c r="AE5" s="222">
        <f>-AE4*$C$5</f>
        <v>-42017.843753729736</v>
      </c>
      <c r="AF5" s="222"/>
      <c r="AG5" s="222">
        <f>-AG4*$C$5</f>
        <v>-43068.289847572974</v>
      </c>
    </row>
    <row r="6" spans="1:34" s="211" customFormat="1" ht="14">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9255</v>
      </c>
      <c r="F8" s="223"/>
      <c r="G8" s="223">
        <f>E8*$C$8</f>
        <v>9486.375</v>
      </c>
      <c r="H8" s="223"/>
      <c r="I8" s="223">
        <f>G8*$C$8</f>
        <v>9723.5343749999993</v>
      </c>
      <c r="J8" s="223"/>
      <c r="K8" s="223">
        <f>I8*$C$8</f>
        <v>9966.6227343749979</v>
      </c>
      <c r="L8" s="223"/>
      <c r="M8" s="223">
        <f>K8*$C$8</f>
        <v>10215.788302734372</v>
      </c>
      <c r="N8" s="223"/>
      <c r="O8" s="223">
        <f>M8*$C$8</f>
        <v>10471.183010302731</v>
      </c>
      <c r="P8" s="223"/>
      <c r="Q8" s="223">
        <f>O8*$C$8</f>
        <v>10732.962585560299</v>
      </c>
      <c r="R8" s="223"/>
      <c r="S8" s="223">
        <f>Q8*$C$8</f>
        <v>11001.286650199305</v>
      </c>
      <c r="T8" s="223"/>
      <c r="U8" s="223">
        <f>S8*$C$8</f>
        <v>11276.318816454286</v>
      </c>
      <c r="V8" s="223"/>
      <c r="W8" s="223">
        <f>U8*$C$8</f>
        <v>11558.226786865642</v>
      </c>
      <c r="X8" s="223"/>
      <c r="Y8" s="223">
        <f>W8*$C$8</f>
        <v>11847.182456537283</v>
      </c>
      <c r="Z8" s="223"/>
      <c r="AA8" s="223">
        <f>Y8*$C$8</f>
        <v>12143.362017950714</v>
      </c>
      <c r="AB8" s="223"/>
      <c r="AC8" s="223">
        <f>AA8*$C$8</f>
        <v>12446.94606839948</v>
      </c>
      <c r="AD8" s="223"/>
      <c r="AE8" s="223">
        <f>AC8*$C$8</f>
        <v>12758.119720109466</v>
      </c>
      <c r="AF8" s="223"/>
      <c r="AG8" s="223">
        <f>AE8*$C$8</f>
        <v>13077.0727131122</v>
      </c>
    </row>
    <row r="9" spans="1:34" s="211" customFormat="1" ht="14">
      <c r="B9" s="211" t="s">
        <v>838</v>
      </c>
      <c r="C9" s="239">
        <f>IF(Application!$D$211="Special Needs",(((0.1*Application!$T$212)+(0.05*(1-Application!$T$212)))),0.05)</f>
        <v>0.05</v>
      </c>
      <c r="E9" s="222">
        <f>-E8*$C$9</f>
        <v>-462.75</v>
      </c>
      <c r="F9" s="222"/>
      <c r="G9" s="222">
        <f>-G8*$C$9</f>
        <v>-474.31875000000002</v>
      </c>
      <c r="H9" s="222"/>
      <c r="I9" s="222">
        <f>-I8*$C$9</f>
        <v>-486.17671874999996</v>
      </c>
      <c r="J9" s="222"/>
      <c r="K9" s="222">
        <f>-K8*$C$9</f>
        <v>-498.33113671874992</v>
      </c>
      <c r="L9" s="222"/>
      <c r="M9" s="222">
        <f>-M8*$C$9</f>
        <v>-510.78941513671862</v>
      </c>
      <c r="N9" s="222"/>
      <c r="O9" s="222">
        <f>-O8*$C$9</f>
        <v>-523.55915051513659</v>
      </c>
      <c r="P9" s="222"/>
      <c r="Q9" s="222">
        <f>-Q8*$C$9</f>
        <v>-536.64812927801495</v>
      </c>
      <c r="R9" s="222"/>
      <c r="S9" s="222">
        <f>-S8*$C$9</f>
        <v>-550.06433250996531</v>
      </c>
      <c r="T9" s="222"/>
      <c r="U9" s="222">
        <f>-U8*$C$9</f>
        <v>-563.81594082271431</v>
      </c>
      <c r="V9" s="222"/>
      <c r="W9" s="222">
        <f>-W8*$C$9</f>
        <v>-577.91133934328207</v>
      </c>
      <c r="X9" s="222"/>
      <c r="Y9" s="222">
        <f>-Y8*$C$9</f>
        <v>-592.35912282686411</v>
      </c>
      <c r="Z9" s="222"/>
      <c r="AA9" s="222">
        <f>-AA8*$C$9</f>
        <v>-607.16810089753574</v>
      </c>
      <c r="AB9" s="222"/>
      <c r="AC9" s="222">
        <f>-AC8*$C$9</f>
        <v>-622.34730341997408</v>
      </c>
      <c r="AD9" s="222"/>
      <c r="AE9" s="222">
        <f>-AE8*$C$9</f>
        <v>-637.90598600547332</v>
      </c>
      <c r="AF9" s="222"/>
      <c r="AG9" s="222">
        <f>-AG8*$C$9</f>
        <v>-653.85363565561011</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587923.65</v>
      </c>
      <c r="G11" s="224">
        <f>SUM(G4:G10)</f>
        <v>602621.74124999996</v>
      </c>
      <c r="I11" s="224">
        <f>SUM(I4:I10)</f>
        <v>617687.28478124994</v>
      </c>
      <c r="K11" s="224">
        <f>SUM(K4:K10)</f>
        <v>633129.46690078115</v>
      </c>
      <c r="M11" s="224">
        <f>SUM(M4:M10)</f>
        <v>648957.70357330074</v>
      </c>
      <c r="O11" s="224">
        <f>SUM(O4:O10)</f>
        <v>665181.64616263309</v>
      </c>
      <c r="Q11" s="224">
        <f>SUM(Q4:Q10)</f>
        <v>681811.18731669884</v>
      </c>
      <c r="S11" s="224">
        <f>SUM(S4:S10)</f>
        <v>698856.46699961624</v>
      </c>
      <c r="U11" s="224">
        <f>SUM(U4:U10)</f>
        <v>716327.87867460668</v>
      </c>
      <c r="W11" s="224">
        <f>SUM(W4:W10)</f>
        <v>734236.07564147178</v>
      </c>
      <c r="Y11" s="224">
        <f>SUM(Y4:Y10)</f>
        <v>752591.97753250855</v>
      </c>
      <c r="AA11" s="224">
        <f>SUM(AA4:AA10)</f>
        <v>771406.7769708212</v>
      </c>
      <c r="AC11" s="224">
        <f>SUM(AC4:AC10)</f>
        <v>790691.9463950916</v>
      </c>
      <c r="AE11" s="224">
        <f>SUM(AE4:AE10)</f>
        <v>810459.24505496898</v>
      </c>
      <c r="AG11" s="224">
        <f>SUM(AG4:AG10)</f>
        <v>830720.72618134308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35450</v>
      </c>
      <c r="G15" s="220">
        <f>E15*$C$14</f>
        <v>36690.75</v>
      </c>
      <c r="I15" s="220">
        <f>G15*$C$14</f>
        <v>37974.926249999997</v>
      </c>
      <c r="K15" s="220">
        <f>I15*$C$14</f>
        <v>39304.048668749994</v>
      </c>
      <c r="M15" s="220">
        <f>K15*$C$14</f>
        <v>40679.690372156241</v>
      </c>
      <c r="O15" s="220">
        <f>M15*$C$14</f>
        <v>42103.479535181708</v>
      </c>
      <c r="Q15" s="220">
        <f>O15*$C$14</f>
        <v>43577.101318913068</v>
      </c>
      <c r="S15" s="220">
        <f>Q15*$C$14</f>
        <v>45102.299865075023</v>
      </c>
      <c r="U15" s="220">
        <f>S15*$C$14</f>
        <v>46680.880360352647</v>
      </c>
      <c r="W15" s="220">
        <f>U15*$C$14</f>
        <v>48314.711172964984</v>
      </c>
      <c r="Y15" s="220">
        <f>W15*$C$14</f>
        <v>50005.726064018752</v>
      </c>
      <c r="AA15" s="220">
        <f>Y15*$C$14</f>
        <v>51755.926476259403</v>
      </c>
      <c r="AC15" s="220">
        <f>AA15*$C$14</f>
        <v>53567.383902928479</v>
      </c>
      <c r="AE15" s="220">
        <f>AC15*$C$14</f>
        <v>55442.242339530974</v>
      </c>
      <c r="AG15" s="220">
        <f>AE15*$C$14</f>
        <v>57382.720821414558</v>
      </c>
    </row>
    <row r="16" spans="1:34" s="211" customFormat="1" ht="14">
      <c r="A16" s="211" t="s">
        <v>344</v>
      </c>
      <c r="C16" s="234"/>
      <c r="E16" s="223">
        <f>Application!W849</f>
        <v>46080</v>
      </c>
      <c r="F16" s="223"/>
      <c r="G16" s="223">
        <f t="shared" ref="G16:AG21" si="0">E16*$C$14</f>
        <v>47692.799999999996</v>
      </c>
      <c r="H16" s="223"/>
      <c r="I16" s="223">
        <f t="shared" si="0"/>
        <v>49362.047999999995</v>
      </c>
      <c r="J16" s="223"/>
      <c r="K16" s="223">
        <f t="shared" si="0"/>
        <v>51089.719679999995</v>
      </c>
      <c r="L16" s="223"/>
      <c r="M16" s="223">
        <f t="shared" si="0"/>
        <v>52877.859868799991</v>
      </c>
      <c r="N16" s="223"/>
      <c r="O16" s="223">
        <f t="shared" si="0"/>
        <v>54728.584964207985</v>
      </c>
      <c r="P16" s="223"/>
      <c r="Q16" s="223">
        <f t="shared" si="0"/>
        <v>56644.085437955262</v>
      </c>
      <c r="R16" s="223"/>
      <c r="S16" s="223">
        <f t="shared" si="0"/>
        <v>58626.628428283693</v>
      </c>
      <c r="T16" s="223"/>
      <c r="U16" s="223">
        <f t="shared" si="0"/>
        <v>60678.560423273615</v>
      </c>
      <c r="V16" s="223"/>
      <c r="W16" s="223">
        <f t="shared" si="0"/>
        <v>62802.310038088188</v>
      </c>
      <c r="X16" s="223"/>
      <c r="Y16" s="223">
        <f t="shared" si="0"/>
        <v>65000.390889421273</v>
      </c>
      <c r="Z16" s="223"/>
      <c r="AA16" s="223">
        <f t="shared" si="0"/>
        <v>67275.404570551007</v>
      </c>
      <c r="AB16" s="223"/>
      <c r="AC16" s="223">
        <f t="shared" si="0"/>
        <v>69630.043730520294</v>
      </c>
      <c r="AD16" s="223"/>
      <c r="AE16" s="223">
        <f t="shared" si="0"/>
        <v>72067.0952610885</v>
      </c>
      <c r="AF16" s="223"/>
      <c r="AG16" s="223">
        <f t="shared" si="0"/>
        <v>74589.443595226592</v>
      </c>
    </row>
    <row r="17" spans="1:33" s="211" customFormat="1" ht="14">
      <c r="A17" s="211" t="s">
        <v>561</v>
      </c>
      <c r="C17" s="234"/>
      <c r="E17" s="223">
        <f>Application!W855</f>
        <v>53126</v>
      </c>
      <c r="F17" s="223"/>
      <c r="G17" s="223">
        <f t="shared" si="0"/>
        <v>54985.409999999996</v>
      </c>
      <c r="H17" s="223"/>
      <c r="I17" s="223">
        <f t="shared" si="0"/>
        <v>56909.899349999992</v>
      </c>
      <c r="J17" s="223"/>
      <c r="K17" s="223">
        <f t="shared" si="0"/>
        <v>58901.745827249986</v>
      </c>
      <c r="L17" s="223"/>
      <c r="M17" s="223">
        <f t="shared" si="0"/>
        <v>60963.306931203733</v>
      </c>
      <c r="N17" s="223"/>
      <c r="O17" s="223">
        <f t="shared" si="0"/>
        <v>63097.022673795858</v>
      </c>
      <c r="P17" s="223"/>
      <c r="Q17" s="223">
        <f t="shared" si="0"/>
        <v>65305.418467378709</v>
      </c>
      <c r="R17" s="223"/>
      <c r="S17" s="223">
        <f t="shared" si="0"/>
        <v>67591.108113736962</v>
      </c>
      <c r="T17" s="223"/>
      <c r="U17" s="223">
        <f t="shared" si="0"/>
        <v>69956.796897717752</v>
      </c>
      <c r="V17" s="223"/>
      <c r="W17" s="223">
        <f t="shared" si="0"/>
        <v>72405.284789137862</v>
      </c>
      <c r="X17" s="223"/>
      <c r="Y17" s="223">
        <f t="shared" si="0"/>
        <v>74939.46975675768</v>
      </c>
      <c r="Z17" s="223"/>
      <c r="AA17" s="223">
        <f t="shared" si="0"/>
        <v>77562.3511982442</v>
      </c>
      <c r="AB17" s="223"/>
      <c r="AC17" s="223">
        <f t="shared" si="0"/>
        <v>80277.033490182745</v>
      </c>
      <c r="AD17" s="223"/>
      <c r="AE17" s="223">
        <f t="shared" si="0"/>
        <v>83086.72966233913</v>
      </c>
      <c r="AF17" s="223"/>
      <c r="AG17" s="223">
        <f t="shared" si="0"/>
        <v>85994.765200520997</v>
      </c>
    </row>
    <row r="18" spans="1:33" s="211" customFormat="1" ht="14">
      <c r="A18" s="211" t="s">
        <v>842</v>
      </c>
      <c r="C18" s="234"/>
      <c r="E18" s="223">
        <f>Application!W862</f>
        <v>150348</v>
      </c>
      <c r="F18" s="223"/>
      <c r="G18" s="223">
        <f t="shared" si="0"/>
        <v>155610.18</v>
      </c>
      <c r="H18" s="223"/>
      <c r="I18" s="223">
        <f t="shared" si="0"/>
        <v>161056.53629999998</v>
      </c>
      <c r="J18" s="223"/>
      <c r="K18" s="223">
        <f t="shared" si="0"/>
        <v>166693.51507049997</v>
      </c>
      <c r="L18" s="223"/>
      <c r="M18" s="223">
        <f t="shared" si="0"/>
        <v>172527.78809796745</v>
      </c>
      <c r="N18" s="223"/>
      <c r="O18" s="223">
        <f t="shared" si="0"/>
        <v>178566.26068139629</v>
      </c>
      <c r="P18" s="223"/>
      <c r="Q18" s="223">
        <f t="shared" si="0"/>
        <v>184816.07980524516</v>
      </c>
      <c r="R18" s="223"/>
      <c r="S18" s="223">
        <f t="shared" si="0"/>
        <v>191284.64259842873</v>
      </c>
      <c r="T18" s="223"/>
      <c r="U18" s="223">
        <f t="shared" si="0"/>
        <v>197979.60508937371</v>
      </c>
      <c r="V18" s="223"/>
      <c r="W18" s="223">
        <f t="shared" si="0"/>
        <v>204908.89126750178</v>
      </c>
      <c r="X18" s="223"/>
      <c r="Y18" s="223">
        <f t="shared" si="0"/>
        <v>212080.70246186433</v>
      </c>
      <c r="Z18" s="223"/>
      <c r="AA18" s="223">
        <f t="shared" si="0"/>
        <v>219503.52704802956</v>
      </c>
      <c r="AB18" s="223"/>
      <c r="AC18" s="223">
        <f t="shared" si="0"/>
        <v>227186.15049471057</v>
      </c>
      <c r="AD18" s="223"/>
      <c r="AE18" s="223">
        <f t="shared" si="0"/>
        <v>235137.66576202543</v>
      </c>
      <c r="AF18" s="223"/>
      <c r="AG18" s="223">
        <f t="shared" si="0"/>
        <v>243367.48406369629</v>
      </c>
    </row>
    <row r="19" spans="1:33" s="211" customFormat="1" ht="14">
      <c r="A19" s="211" t="s">
        <v>155</v>
      </c>
      <c r="C19" s="234"/>
      <c r="E19" s="223">
        <f>Application!W863</f>
        <v>35000</v>
      </c>
      <c r="F19" s="223"/>
      <c r="G19" s="223">
        <f t="shared" si="0"/>
        <v>36225</v>
      </c>
      <c r="H19" s="223"/>
      <c r="I19" s="223">
        <f t="shared" si="0"/>
        <v>37492.875</v>
      </c>
      <c r="J19" s="223"/>
      <c r="K19" s="223">
        <f t="shared" si="0"/>
        <v>38805.125625000001</v>
      </c>
      <c r="L19" s="223"/>
      <c r="M19" s="223">
        <f t="shared" si="0"/>
        <v>40163.305021875</v>
      </c>
      <c r="N19" s="223"/>
      <c r="O19" s="223">
        <f t="shared" si="0"/>
        <v>41569.020697640619</v>
      </c>
      <c r="P19" s="223"/>
      <c r="Q19" s="223">
        <f t="shared" si="0"/>
        <v>43023.936422058039</v>
      </c>
      <c r="R19" s="223"/>
      <c r="S19" s="223">
        <f t="shared" si="0"/>
        <v>44529.774196830069</v>
      </c>
      <c r="T19" s="223"/>
      <c r="U19" s="223">
        <f t="shared" si="0"/>
        <v>46088.316293719115</v>
      </c>
      <c r="V19" s="223"/>
      <c r="W19" s="223">
        <f t="shared" si="0"/>
        <v>47701.407363999278</v>
      </c>
      <c r="X19" s="223"/>
      <c r="Y19" s="223">
        <f t="shared" si="0"/>
        <v>49370.956621739249</v>
      </c>
      <c r="Z19" s="223"/>
      <c r="AA19" s="223">
        <f t="shared" si="0"/>
        <v>51098.940103500121</v>
      </c>
      <c r="AB19" s="223"/>
      <c r="AC19" s="223">
        <f t="shared" si="0"/>
        <v>52887.403007122623</v>
      </c>
      <c r="AD19" s="223"/>
      <c r="AE19" s="223">
        <f t="shared" si="0"/>
        <v>54738.462112371912</v>
      </c>
      <c r="AF19" s="223"/>
      <c r="AG19" s="223">
        <f t="shared" si="0"/>
        <v>56654.308286304928</v>
      </c>
    </row>
    <row r="20" spans="1:33" s="211" customFormat="1" ht="14">
      <c r="A20" s="211" t="s">
        <v>390</v>
      </c>
      <c r="C20" s="234"/>
      <c r="E20" s="223">
        <f>Application!W872</f>
        <v>47825</v>
      </c>
      <c r="F20" s="223"/>
      <c r="G20" s="223">
        <f t="shared" si="0"/>
        <v>49498.874999999993</v>
      </c>
      <c r="H20" s="223"/>
      <c r="I20" s="223">
        <f t="shared" si="0"/>
        <v>51231.335624999985</v>
      </c>
      <c r="J20" s="223"/>
      <c r="K20" s="223">
        <f t="shared" si="0"/>
        <v>53024.43237187498</v>
      </c>
      <c r="L20" s="223"/>
      <c r="M20" s="223">
        <f t="shared" si="0"/>
        <v>54880.287504890599</v>
      </c>
      <c r="N20" s="223"/>
      <c r="O20" s="223">
        <f t="shared" si="0"/>
        <v>56801.097567561766</v>
      </c>
      <c r="P20" s="223"/>
      <c r="Q20" s="223">
        <f t="shared" si="0"/>
        <v>58789.135982426422</v>
      </c>
      <c r="R20" s="223"/>
      <c r="S20" s="223">
        <f t="shared" si="0"/>
        <v>60846.755741811343</v>
      </c>
      <c r="T20" s="223"/>
      <c r="U20" s="223">
        <f t="shared" si="0"/>
        <v>62976.392192774736</v>
      </c>
      <c r="V20" s="223"/>
      <c r="W20" s="223">
        <f t="shared" si="0"/>
        <v>65180.565919521847</v>
      </c>
      <c r="X20" s="223"/>
      <c r="Y20" s="223">
        <f t="shared" si="0"/>
        <v>67461.885726705106</v>
      </c>
      <c r="Z20" s="223"/>
      <c r="AA20" s="223">
        <f t="shared" si="0"/>
        <v>69823.051727139784</v>
      </c>
      <c r="AB20" s="223"/>
      <c r="AC20" s="223">
        <f t="shared" si="0"/>
        <v>72266.858537589666</v>
      </c>
      <c r="AD20" s="223"/>
      <c r="AE20" s="223">
        <f t="shared" si="0"/>
        <v>74796.198586405299</v>
      </c>
      <c r="AF20" s="223"/>
      <c r="AG20" s="223">
        <f t="shared" si="0"/>
        <v>77414.065536929484</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367829</v>
      </c>
      <c r="G22" s="224">
        <f>SUM(G15:G21)</f>
        <v>380703.01500000001</v>
      </c>
      <c r="I22" s="224">
        <f>SUM(I15:I21)</f>
        <v>394027.62052499998</v>
      </c>
      <c r="K22" s="224">
        <f>SUM(K15:K21)</f>
        <v>407818.5872433749</v>
      </c>
      <c r="M22" s="224">
        <f>SUM(M15:M21)</f>
        <v>422092.23779689305</v>
      </c>
      <c r="O22" s="224">
        <f>SUM(O15:O21)</f>
        <v>436865.46611978422</v>
      </c>
      <c r="Q22" s="224">
        <f>SUM(Q15:Q21)</f>
        <v>452155.75743397663</v>
      </c>
      <c r="S22" s="224">
        <f>SUM(S15:S21)</f>
        <v>467981.20894416579</v>
      </c>
      <c r="U22" s="224">
        <f>SUM(U15:U21)</f>
        <v>484360.55125721154</v>
      </c>
      <c r="W22" s="224">
        <f>SUM(W15:W21)</f>
        <v>501313.1705512139</v>
      </c>
      <c r="Y22" s="224">
        <f>SUM(Y15:Y21)</f>
        <v>518859.13152050646</v>
      </c>
      <c r="AA22" s="224">
        <f>SUM(AA15:AA21)</f>
        <v>537019.20112372399</v>
      </c>
      <c r="AC22" s="224">
        <f>SUM(AC15:AC21)</f>
        <v>555814.87316305446</v>
      </c>
      <c r="AE22" s="224">
        <f>SUM(AE15:AE21)</f>
        <v>575268.3937237612</v>
      </c>
      <c r="AG22" s="224">
        <f>SUM(AG15:AG21)</f>
        <v>595402.78750409291</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4">
      <c r="A28" s="211" t="s">
        <v>846</v>
      </c>
      <c r="C28" s="238"/>
      <c r="E28" s="223">
        <f>Application!AC889</f>
        <v>32000</v>
      </c>
      <c r="F28" s="223"/>
      <c r="G28" s="223">
        <f>$E$28</f>
        <v>32000</v>
      </c>
      <c r="H28" s="223"/>
      <c r="I28" s="223">
        <f>$E$28</f>
        <v>32000</v>
      </c>
      <c r="J28" s="223"/>
      <c r="K28" s="223">
        <f>$E$28</f>
        <v>32000</v>
      </c>
      <c r="L28" s="223"/>
      <c r="M28" s="223">
        <f>$E$28</f>
        <v>32000</v>
      </c>
      <c r="N28" s="223"/>
      <c r="O28" s="223">
        <f>$E$28</f>
        <v>32000</v>
      </c>
      <c r="P28" s="223"/>
      <c r="Q28" s="223">
        <f>$E$28</f>
        <v>32000</v>
      </c>
      <c r="R28" s="223"/>
      <c r="S28" s="223">
        <f>$E$28</f>
        <v>32000</v>
      </c>
      <c r="T28" s="223"/>
      <c r="U28" s="223">
        <f>$E$28</f>
        <v>32000</v>
      </c>
      <c r="V28" s="223"/>
      <c r="W28" s="223">
        <f>$E$28</f>
        <v>32000</v>
      </c>
      <c r="X28" s="223"/>
      <c r="Y28" s="223">
        <f>$E$28</f>
        <v>32000</v>
      </c>
      <c r="Z28" s="223"/>
      <c r="AA28" s="223">
        <f>$E$28</f>
        <v>32000</v>
      </c>
      <c r="AB28" s="223"/>
      <c r="AC28" s="223">
        <f>$E$28</f>
        <v>32000</v>
      </c>
      <c r="AD28" s="223"/>
      <c r="AE28" s="223">
        <f>$E$28</f>
        <v>32000</v>
      </c>
      <c r="AF28" s="223"/>
      <c r="AG28" s="223">
        <f>$E$28</f>
        <v>32000</v>
      </c>
    </row>
    <row r="29" spans="1:33" s="211" customFormat="1" ht="14">
      <c r="A29" s="211" t="s">
        <v>1680</v>
      </c>
      <c r="C29" s="238"/>
      <c r="E29" s="223">
        <f>Application!AC890</f>
        <v>12754</v>
      </c>
      <c r="F29" s="223"/>
      <c r="G29" s="223">
        <f>$E$29</f>
        <v>12754</v>
      </c>
      <c r="H29" s="223"/>
      <c r="I29" s="223">
        <f>$E$29</f>
        <v>12754</v>
      </c>
      <c r="J29" s="223"/>
      <c r="K29" s="223">
        <f>$E$29</f>
        <v>12754</v>
      </c>
      <c r="L29" s="223"/>
      <c r="M29" s="223">
        <f>$E$29</f>
        <v>12754</v>
      </c>
      <c r="N29" s="223"/>
      <c r="O29" s="223">
        <f>$E$29</f>
        <v>12754</v>
      </c>
      <c r="P29" s="223"/>
      <c r="Q29" s="223">
        <f>$E$29</f>
        <v>12754</v>
      </c>
      <c r="R29" s="223"/>
      <c r="S29" s="223">
        <f>$E$29</f>
        <v>12754</v>
      </c>
      <c r="T29" s="223"/>
      <c r="U29" s="223">
        <f>$E$29</f>
        <v>12754</v>
      </c>
      <c r="V29" s="223"/>
      <c r="W29" s="223">
        <f>$E$29</f>
        <v>12754</v>
      </c>
      <c r="X29" s="223"/>
      <c r="Y29" s="223">
        <f>$E$29</f>
        <v>12754</v>
      </c>
      <c r="Z29" s="223"/>
      <c r="AA29" s="223">
        <f>$E$29</f>
        <v>12754</v>
      </c>
      <c r="AB29" s="223"/>
      <c r="AC29" s="223">
        <f>$E$29</f>
        <v>12754</v>
      </c>
      <c r="AD29" s="223"/>
      <c r="AE29" s="223">
        <f>$E$29</f>
        <v>12754</v>
      </c>
      <c r="AF29" s="223"/>
      <c r="AG29" s="223">
        <f>$E$29</f>
        <v>12754</v>
      </c>
    </row>
    <row r="30" spans="1:33" s="211" customFormat="1" ht="14">
      <c r="A30" s="211" t="s">
        <v>844</v>
      </c>
      <c r="C30" s="238">
        <v>1.02</v>
      </c>
      <c r="E30" s="223">
        <f>Application!AC891</f>
        <v>10250</v>
      </c>
      <c r="F30" s="223"/>
      <c r="G30" s="223">
        <f>E30*$C$30</f>
        <v>10455</v>
      </c>
      <c r="H30" s="223"/>
      <c r="I30" s="223">
        <f>G30*$C$30</f>
        <v>10664.1</v>
      </c>
      <c r="J30" s="223"/>
      <c r="K30" s="223">
        <f>I30*$C$30</f>
        <v>10877.382000000001</v>
      </c>
      <c r="L30" s="223"/>
      <c r="M30" s="223">
        <f>K30*$C$30</f>
        <v>11094.929640000002</v>
      </c>
      <c r="N30" s="223"/>
      <c r="O30" s="223">
        <f>M30*$C$30</f>
        <v>11316.828232800002</v>
      </c>
      <c r="P30" s="223"/>
      <c r="Q30" s="223">
        <f>O30*$C$30</f>
        <v>11543.164797456002</v>
      </c>
      <c r="R30" s="223"/>
      <c r="S30" s="223">
        <f>Q30*$C$30</f>
        <v>11774.028093405122</v>
      </c>
      <c r="T30" s="223"/>
      <c r="U30" s="223">
        <f>S30*$C$30</f>
        <v>12009.508655273225</v>
      </c>
      <c r="V30" s="223"/>
      <c r="W30" s="223">
        <f>U30*$C$30</f>
        <v>12249.698828378689</v>
      </c>
      <c r="X30" s="223"/>
      <c r="Y30" s="223">
        <f>W30*$C$30</f>
        <v>12494.692804946262</v>
      </c>
      <c r="Z30" s="223"/>
      <c r="AA30" s="223">
        <f>Y30*$C$30</f>
        <v>12744.586661045189</v>
      </c>
      <c r="AB30" s="223"/>
      <c r="AC30" s="223">
        <f>AA30*$C$30</f>
        <v>12999.478394266092</v>
      </c>
      <c r="AD30" s="223"/>
      <c r="AE30" s="223">
        <f>AC30*$C$30</f>
        <v>13259.467962151415</v>
      </c>
      <c r="AF30" s="223"/>
      <c r="AG30" s="223">
        <f>AE30*$C$30</f>
        <v>13524.657321394443</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445633</v>
      </c>
      <c r="G35" s="224">
        <f>SUM(G22:G33)</f>
        <v>459510.01500000001</v>
      </c>
      <c r="I35" s="224">
        <f>SUM(I22:I33)</f>
        <v>473869.65052499995</v>
      </c>
      <c r="K35" s="224">
        <f>SUM(K22:K33)</f>
        <v>488728.73679337488</v>
      </c>
      <c r="M35" s="224">
        <f>SUM(M22:M33)</f>
        <v>504104.69185114303</v>
      </c>
      <c r="O35" s="224">
        <f>SUM(O22:O33)</f>
        <v>520015.54212133295</v>
      </c>
      <c r="Q35" s="224">
        <f>SUM(Q22:Q33)</f>
        <v>536479.94367208751</v>
      </c>
      <c r="S35" s="224">
        <f>SUM(S22:S33)</f>
        <v>553517.20422864868</v>
      </c>
      <c r="U35" s="224">
        <f>SUM(U22:U33)</f>
        <v>571147.3059552504</v>
      </c>
      <c r="W35" s="224">
        <f>SUM(W22:W33)</f>
        <v>589390.92903385498</v>
      </c>
      <c r="Y35" s="224">
        <f>SUM(Y22:Y33)</f>
        <v>608269.47606761428</v>
      </c>
      <c r="AA35" s="224">
        <f>SUM(AA22:AA33)</f>
        <v>627805.09733790637</v>
      </c>
      <c r="AC35" s="224">
        <f>SUM(AC22:AC33)</f>
        <v>648020.71694481757</v>
      </c>
      <c r="AE35" s="224">
        <f>SUM(AE22:AE33)</f>
        <v>668940.059861972</v>
      </c>
      <c r="AG35" s="224">
        <f>SUM(AG22:AG33)</f>
        <v>690587.67993770877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142290.65000000002</v>
      </c>
      <c r="G37" s="224">
        <f>G11-G35</f>
        <v>143111.72624999995</v>
      </c>
      <c r="I37" s="224">
        <f>I11-I35</f>
        <v>143817.63425624999</v>
      </c>
      <c r="K37" s="224">
        <f>K11-K35</f>
        <v>144400.73010740627</v>
      </c>
      <c r="M37" s="224">
        <f>M11-M35</f>
        <v>144853.01172215771</v>
      </c>
      <c r="O37" s="224">
        <f>O11-O35</f>
        <v>145166.10404130013</v>
      </c>
      <c r="Q37" s="224">
        <f>Q11-Q35</f>
        <v>145331.24364461133</v>
      </c>
      <c r="S37" s="224">
        <f>S11-S35</f>
        <v>145339.26277096756</v>
      </c>
      <c r="U37" s="224">
        <f>U11-U35</f>
        <v>145180.57271935628</v>
      </c>
      <c r="W37" s="224">
        <f>W11-W35</f>
        <v>144845.1466076168</v>
      </c>
      <c r="Y37" s="224">
        <f>Y11-Y35</f>
        <v>144322.50146489427</v>
      </c>
      <c r="AA37" s="224">
        <f>AA11-AA35</f>
        <v>143601.67963291483</v>
      </c>
      <c r="AC37" s="224">
        <f>AC11-AC35</f>
        <v>142671.22945027403</v>
      </c>
      <c r="AE37" s="224">
        <f>AE11-AE35</f>
        <v>141519.18519299699</v>
      </c>
      <c r="AG37" s="224">
        <f>AG11-AG35</f>
        <v>140133.04624363431</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
        <v>2747</v>
      </c>
      <c r="B40" s="227"/>
      <c r="C40" s="221"/>
      <c r="E40" s="223">
        <f>Application!AF627</f>
        <v>86980</v>
      </c>
      <c r="F40" s="223"/>
      <c r="G40" s="223">
        <f>$E$40</f>
        <v>86980</v>
      </c>
      <c r="H40" s="223"/>
      <c r="I40" s="223">
        <f>$E$40</f>
        <v>86980</v>
      </c>
      <c r="J40" s="223"/>
      <c r="K40" s="223">
        <f>$E$40</f>
        <v>86980</v>
      </c>
      <c r="L40" s="223"/>
      <c r="M40" s="223">
        <f>$E$40</f>
        <v>86980</v>
      </c>
      <c r="N40" s="223"/>
      <c r="O40" s="223">
        <f>$E$40</f>
        <v>86980</v>
      </c>
      <c r="P40" s="223"/>
      <c r="Q40" s="223">
        <f>$E$40</f>
        <v>86980</v>
      </c>
      <c r="R40" s="223"/>
      <c r="S40" s="223">
        <f>$E$40</f>
        <v>86980</v>
      </c>
      <c r="T40" s="223"/>
      <c r="U40" s="223">
        <f>$E$40</f>
        <v>86980</v>
      </c>
      <c r="V40" s="223"/>
      <c r="W40" s="223">
        <f>$E$40</f>
        <v>86980</v>
      </c>
      <c r="X40" s="223"/>
      <c r="Y40" s="223">
        <f>$E$40</f>
        <v>86980</v>
      </c>
      <c r="Z40" s="223"/>
      <c r="AA40" s="223">
        <f>$E$40</f>
        <v>86980</v>
      </c>
      <c r="AB40" s="223"/>
      <c r="AC40" s="223">
        <f>$E$40</f>
        <v>86980</v>
      </c>
      <c r="AD40" s="223"/>
      <c r="AE40" s="223">
        <f>$E$40</f>
        <v>86980</v>
      </c>
      <c r="AF40" s="223"/>
      <c r="AG40" s="223">
        <f>$E$40</f>
        <v>86980</v>
      </c>
    </row>
    <row r="41" spans="1:33" s="211" customFormat="1" ht="14">
      <c r="A41" s="226" t="s">
        <v>2748</v>
      </c>
      <c r="B41" s="227"/>
      <c r="C41" s="221"/>
      <c r="E41" s="223">
        <f>0.0042*8500000</f>
        <v>35700</v>
      </c>
      <c r="F41" s="223"/>
      <c r="G41" s="223">
        <f>$E$41</f>
        <v>35700</v>
      </c>
      <c r="H41" s="223"/>
      <c r="I41" s="223">
        <f>$E$41</f>
        <v>35700</v>
      </c>
      <c r="J41" s="223"/>
      <c r="K41" s="223">
        <f>$E$41</f>
        <v>35700</v>
      </c>
      <c r="L41" s="223"/>
      <c r="M41" s="223">
        <f>$E$41</f>
        <v>35700</v>
      </c>
      <c r="N41" s="223"/>
      <c r="O41" s="223">
        <f>$E$41</f>
        <v>35700</v>
      </c>
      <c r="P41" s="223"/>
      <c r="Q41" s="223">
        <f>$E$41</f>
        <v>35700</v>
      </c>
      <c r="R41" s="223"/>
      <c r="S41" s="223">
        <f>$E$41</f>
        <v>35700</v>
      </c>
      <c r="T41" s="223"/>
      <c r="U41" s="223">
        <f>$E$41</f>
        <v>35700</v>
      </c>
      <c r="V41" s="223"/>
      <c r="W41" s="223">
        <f>$E$41</f>
        <v>35700</v>
      </c>
      <c r="X41" s="223"/>
      <c r="Y41" s="223">
        <f>$E$41</f>
        <v>35700</v>
      </c>
      <c r="Z41" s="223"/>
      <c r="AA41" s="223">
        <f>$E$41</f>
        <v>35700</v>
      </c>
      <c r="AB41" s="223"/>
      <c r="AC41" s="223">
        <f>$E$41</f>
        <v>35700</v>
      </c>
      <c r="AD41" s="223"/>
      <c r="AE41" s="223">
        <f>$E$41</f>
        <v>35700</v>
      </c>
      <c r="AF41" s="223"/>
      <c r="AG41" s="223">
        <f>$E$41</f>
        <v>35700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122680</v>
      </c>
      <c r="G43" s="224">
        <f>SUM(G40:G42)</f>
        <v>122680</v>
      </c>
      <c r="I43" s="224">
        <f>SUM(I40:I42)</f>
        <v>122680</v>
      </c>
      <c r="K43" s="224">
        <f>SUM(K40:K42)</f>
        <v>122680</v>
      </c>
      <c r="M43" s="224">
        <f>SUM(M40:M42)</f>
        <v>122680</v>
      </c>
      <c r="O43" s="224">
        <f>SUM(O40:O42)</f>
        <v>122680</v>
      </c>
      <c r="Q43" s="224">
        <f>SUM(Q40:Q42)</f>
        <v>122680</v>
      </c>
      <c r="S43" s="224">
        <f>SUM(S40:S42)</f>
        <v>122680</v>
      </c>
      <c r="U43" s="224">
        <f>SUM(U40:U42)</f>
        <v>122680</v>
      </c>
      <c r="W43" s="224">
        <f>SUM(W40:W42)</f>
        <v>122680</v>
      </c>
      <c r="Y43" s="224">
        <f>SUM(Y40:Y42)</f>
        <v>122680</v>
      </c>
      <c r="AA43" s="224">
        <f>SUM(AA40:AA42)</f>
        <v>122680</v>
      </c>
      <c r="AC43" s="224">
        <f>SUM(AC40:AC42)</f>
        <v>122680</v>
      </c>
      <c r="AE43" s="224">
        <f>SUM(AE40:AE42)</f>
        <v>122680</v>
      </c>
      <c r="AG43" s="224">
        <f>SUM(AG40:AG42)</f>
        <v>122680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19610.650000000023</v>
      </c>
      <c r="G45" s="224">
        <f>G37-G43</f>
        <v>20431.726249999949</v>
      </c>
      <c r="I45" s="224">
        <f>I37-I43</f>
        <v>21137.634256249992</v>
      </c>
      <c r="K45" s="224">
        <f>K37-K43</f>
        <v>21720.730107406271</v>
      </c>
      <c r="M45" s="224">
        <f>M37-M43</f>
        <v>22173.011722157709</v>
      </c>
      <c r="O45" s="224">
        <f>O37-O43</f>
        <v>22486.104041300132</v>
      </c>
      <c r="Q45" s="224">
        <f>Q37-Q43</f>
        <v>22651.243644611328</v>
      </c>
      <c r="S45" s="224">
        <f>S37-S43</f>
        <v>22659.262770967558</v>
      </c>
      <c r="U45" s="224">
        <f>U37-U43</f>
        <v>22500.572719356278</v>
      </c>
      <c r="W45" s="224">
        <f>W37-W43</f>
        <v>22165.1466076168</v>
      </c>
      <c r="Y45" s="224">
        <f>Y37-Y43</f>
        <v>21642.501464894274</v>
      </c>
      <c r="AA45" s="224">
        <f>AA37-AA43</f>
        <v>20921.679632914835</v>
      </c>
      <c r="AC45" s="224">
        <f>AC37-AC43</f>
        <v>19991.229450274026</v>
      </c>
      <c r="AE45" s="224">
        <f>AE37-AE43</f>
        <v>18839.185192996985</v>
      </c>
      <c r="AG45" s="224">
        <f>AG37-AG43</f>
        <v>17453.046243634308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3.1687987887542915E-2</v>
      </c>
      <c r="G47" s="228">
        <f>G45/(G4+G6+G8)</f>
        <v>3.2209491641038521E-2</v>
      </c>
      <c r="I47" s="228">
        <f>I45/(I4+I6+I8)</f>
        <v>3.2509577318802933E-2</v>
      </c>
      <c r="K47" s="228">
        <f>K45/(K4+K6+K8)</f>
        <v>3.2591586209127839E-2</v>
      </c>
      <c r="M47" s="228">
        <f>M45/(M4+M6+M8)</f>
        <v>3.2458758128711504E-2</v>
      </c>
      <c r="O47" s="228">
        <f>O45/(O4+O6+O8)</f>
        <v>3.2114233702131179E-2</v>
      </c>
      <c r="Q47" s="228">
        <f>Q45/(Q4+Q6+Q8)</f>
        <v>3.15610565838155E-2</v>
      </c>
      <c r="S47" s="228">
        <f>S45/(S4+S6+S8)</f>
        <v>3.0802175623898174E-2</v>
      </c>
      <c r="U47" s="228">
        <f>U45/(U4+U6+U8)</f>
        <v>2.9840446979306174E-2</v>
      </c>
      <c r="W47" s="228">
        <f>W45/(W4+W6+W8)</f>
        <v>2.8678636171396814E-2</v>
      </c>
      <c r="Y47" s="228">
        <f>Y45/(Y4+Y6+Y8)</f>
        <v>2.7319420091428556E-2</v>
      </c>
      <c r="AA47" s="228">
        <f>AA45/(AA4+AA6+AA8)</f>
        <v>2.576538895512049E-2</v>
      </c>
      <c r="AC47" s="228">
        <f>AC45/(AC4+AC6+AC8)</f>
        <v>2.4019048207518483E-2</v>
      </c>
      <c r="AE47" s="228">
        <f>AE45/(AE4+AE6+AE8)</f>
        <v>2.2082820379368078E-2</v>
      </c>
      <c r="AG47" s="228">
        <f>AG45/(AG4+AG6+AG8)</f>
        <v>1.9959046896144444E-2</v>
      </c>
    </row>
    <row r="48" spans="1:33" s="228" customFormat="1" ht="14">
      <c r="A48" s="228" t="s">
        <v>852</v>
      </c>
      <c r="C48" s="221"/>
      <c r="E48" s="228">
        <f>E45/E43</f>
        <v>0.15985205412455186</v>
      </c>
      <c r="G48" s="228">
        <f>G45/G43</f>
        <v>0.16654488302901815</v>
      </c>
      <c r="I48" s="228">
        <f>I45/I43</f>
        <v>0.17229894242134</v>
      </c>
      <c r="K48" s="228">
        <f>K45/K43</f>
        <v>0.17705192457944466</v>
      </c>
      <c r="M48" s="228">
        <f>M45/M43</f>
        <v>0.18073860223473842</v>
      </c>
      <c r="O48" s="228">
        <f>O45/O43</f>
        <v>0.18329070786843929</v>
      </c>
      <c r="Q48" s="228">
        <f>Q45/Q43</f>
        <v>0.18463680831929677</v>
      </c>
      <c r="S48" s="228">
        <f>S45/S43</f>
        <v>0.18470217452696086</v>
      </c>
      <c r="U48" s="228">
        <f>U45/U43</f>
        <v>0.18340864622885783</v>
      </c>
      <c r="W48" s="228">
        <f>W45/W43</f>
        <v>0.18067449142172154</v>
      </c>
      <c r="Y48" s="228">
        <f>Y45/Y43</f>
        <v>0.17641426039203029</v>
      </c>
      <c r="AA48" s="228">
        <f>AA45/AA43</f>
        <v>0.17053863411244566</v>
      </c>
      <c r="AC48" s="228">
        <f>AC45/AC43</f>
        <v>0.16295426679388675</v>
      </c>
      <c r="AE48" s="228">
        <f>AE45/AE43</f>
        <v>0.15356362237526072</v>
      </c>
      <c r="AG48" s="228">
        <f>AG45/AG43</f>
        <v>0.14226480472476613</v>
      </c>
    </row>
    <row r="49" spans="1:34" s="229" customFormat="1" ht="14">
      <c r="A49" s="229" t="s">
        <v>850</v>
      </c>
      <c r="C49" s="230"/>
      <c r="E49" s="229">
        <f>E37/E43</f>
        <v>1.1598520541245518</v>
      </c>
      <c r="G49" s="229">
        <f>G37/G43</f>
        <v>1.1665448830290182</v>
      </c>
      <c r="I49" s="229">
        <f>I37/I43</f>
        <v>1.1722989424213399</v>
      </c>
      <c r="K49" s="229">
        <f>K37/K43</f>
        <v>1.1770519245794446</v>
      </c>
      <c r="M49" s="229">
        <f>M37/M43</f>
        <v>1.1807386022347384</v>
      </c>
      <c r="O49" s="229">
        <f>O37/O43</f>
        <v>1.1832907078684394</v>
      </c>
      <c r="Q49" s="229">
        <f>Q37/Q43</f>
        <v>1.1846368083192969</v>
      </c>
      <c r="S49" s="229">
        <f>S37/S43</f>
        <v>1.1847021745269608</v>
      </c>
      <c r="U49" s="229">
        <f>U37/U43</f>
        <v>1.1834086462288578</v>
      </c>
      <c r="W49" s="229">
        <f>W37/W43</f>
        <v>1.1806744914217215</v>
      </c>
      <c r="Y49" s="229">
        <f>Y37/Y43</f>
        <v>1.1764142603920302</v>
      </c>
      <c r="AA49" s="229">
        <f>AA37/AA43</f>
        <v>1.1705386341124457</v>
      </c>
      <c r="AC49" s="229">
        <f>AC37/AC43</f>
        <v>1.1629542667938868</v>
      </c>
      <c r="AE49" s="229">
        <f>AE37/AE43</f>
        <v>1.1535636223752608</v>
      </c>
      <c r="AG49" s="229">
        <f>AG37/AG43</f>
        <v>1.1422648047247661</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9" t="s">
        <v>2749</v>
      </c>
      <c r="B52" s="2699"/>
      <c r="C52" s="2699"/>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v>
      </c>
      <c r="E53" s="965">
        <v>5000</v>
      </c>
      <c r="G53" s="961">
        <f>E53*$C$53</f>
        <v>5000</v>
      </c>
      <c r="I53" s="961">
        <f>G53*$C$53</f>
        <v>5000</v>
      </c>
      <c r="K53" s="961">
        <f>I53*$C$53</f>
        <v>5000</v>
      </c>
      <c r="M53" s="961">
        <f>K53*$C$53</f>
        <v>5000</v>
      </c>
      <c r="O53" s="961">
        <f>M53*$C$53</f>
        <v>5000</v>
      </c>
      <c r="Q53" s="961">
        <f>O53*$C$53</f>
        <v>5000</v>
      </c>
      <c r="S53" s="961">
        <f>Q53*$C$53</f>
        <v>5000</v>
      </c>
      <c r="U53" s="961">
        <f>S53*$C$53</f>
        <v>5000</v>
      </c>
      <c r="W53" s="961">
        <f>U53*$C$53</f>
        <v>5000</v>
      </c>
      <c r="Y53" s="961">
        <f>W53*$C$53</f>
        <v>5000</v>
      </c>
      <c r="AA53" s="961">
        <f>Y53*$C$53</f>
        <v>5000</v>
      </c>
      <c r="AC53" s="961">
        <f>AA53*$C$53</f>
        <v>5000</v>
      </c>
      <c r="AE53" s="961">
        <f>AC53*$C$53</f>
        <v>5000</v>
      </c>
      <c r="AG53" s="961">
        <f>AE53*$C$53</f>
        <v>5000</v>
      </c>
    </row>
    <row r="54" spans="1:34" s="3" customFormat="1">
      <c r="A54" s="3" t="s">
        <v>855</v>
      </c>
      <c r="C54" s="959"/>
      <c r="E54" s="966">
        <v>5000</v>
      </c>
      <c r="F54" s="961"/>
      <c r="G54" s="961">
        <f t="shared" ref="G54:AG57" si="1">E54*$C$53</f>
        <v>5000</v>
      </c>
      <c r="H54" s="961"/>
      <c r="I54" s="961">
        <f t="shared" si="1"/>
        <v>5000</v>
      </c>
      <c r="J54" s="961"/>
      <c r="K54" s="961">
        <f t="shared" si="1"/>
        <v>5000</v>
      </c>
      <c r="L54" s="961"/>
      <c r="M54" s="961">
        <f t="shared" si="1"/>
        <v>5000</v>
      </c>
      <c r="N54" s="961"/>
      <c r="O54" s="961">
        <f t="shared" si="1"/>
        <v>5000</v>
      </c>
      <c r="P54" s="961"/>
      <c r="Q54" s="961">
        <f t="shared" si="1"/>
        <v>5000</v>
      </c>
      <c r="R54" s="961"/>
      <c r="S54" s="961">
        <f t="shared" si="1"/>
        <v>5000</v>
      </c>
      <c r="T54" s="961"/>
      <c r="U54" s="961">
        <f t="shared" si="1"/>
        <v>5000</v>
      </c>
      <c r="V54" s="961"/>
      <c r="W54" s="961">
        <f t="shared" si="1"/>
        <v>5000</v>
      </c>
      <c r="X54" s="961"/>
      <c r="Y54" s="961">
        <f t="shared" si="1"/>
        <v>5000</v>
      </c>
      <c r="Z54" s="961"/>
      <c r="AA54" s="961">
        <f t="shared" si="1"/>
        <v>5000</v>
      </c>
      <c r="AB54" s="961"/>
      <c r="AC54" s="961">
        <f t="shared" si="1"/>
        <v>5000</v>
      </c>
      <c r="AD54" s="961"/>
      <c r="AE54" s="961">
        <f t="shared" si="1"/>
        <v>5000</v>
      </c>
      <c r="AF54" s="961"/>
      <c r="AG54" s="961">
        <f t="shared" si="1"/>
        <v>5000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10000</v>
      </c>
      <c r="F58" s="961"/>
      <c r="G58" s="961">
        <f>SUM(G53:G57)</f>
        <v>10000</v>
      </c>
      <c r="H58" s="961"/>
      <c r="I58" s="961">
        <f>SUM(I53:I57)</f>
        <v>10000</v>
      </c>
      <c r="J58" s="961"/>
      <c r="K58" s="961">
        <f>SUM(K53:K57)</f>
        <v>10000</v>
      </c>
      <c r="L58" s="961"/>
      <c r="M58" s="961">
        <f>SUM(M53:M57)</f>
        <v>10000</v>
      </c>
      <c r="N58" s="961"/>
      <c r="O58" s="961">
        <f>SUM(O53:O57)</f>
        <v>10000</v>
      </c>
      <c r="P58" s="961"/>
      <c r="Q58" s="961">
        <f>SUM(Q53:Q57)</f>
        <v>10000</v>
      </c>
      <c r="R58" s="961"/>
      <c r="S58" s="961">
        <f>SUM(S53:S57)</f>
        <v>10000</v>
      </c>
      <c r="T58" s="961"/>
      <c r="U58" s="961">
        <f>SUM(U53:U57)</f>
        <v>10000</v>
      </c>
      <c r="V58" s="961"/>
      <c r="W58" s="961">
        <f>SUM(W53:W57)</f>
        <v>10000</v>
      </c>
      <c r="X58" s="961"/>
      <c r="Y58" s="961">
        <f>SUM(Y53:Y57)</f>
        <v>10000</v>
      </c>
      <c r="Z58" s="961"/>
      <c r="AA58" s="961">
        <f>SUM(AA53:AA57)</f>
        <v>10000</v>
      </c>
      <c r="AB58" s="961"/>
      <c r="AC58" s="961">
        <f>SUM(AC53:AC57)</f>
        <v>10000</v>
      </c>
      <c r="AD58" s="961"/>
      <c r="AE58" s="961">
        <f>SUM(AE53:AE57)</f>
        <v>10000</v>
      </c>
      <c r="AF58" s="961"/>
      <c r="AG58" s="961">
        <f>SUM(AG53:AG57)</f>
        <v>10000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9610.6500000000233</v>
      </c>
      <c r="G60" s="963">
        <f>G45-G58</f>
        <v>10431.726249999949</v>
      </c>
      <c r="I60" s="963">
        <f>I45-I58</f>
        <v>11137.634256249992</v>
      </c>
      <c r="K60" s="963">
        <f>K45-K58</f>
        <v>11720.730107406271</v>
      </c>
      <c r="M60" s="963">
        <f>M45-M58</f>
        <v>12173.011722157709</v>
      </c>
      <c r="O60" s="963">
        <f>O45-O58</f>
        <v>12486.104041300132</v>
      </c>
      <c r="Q60" s="963">
        <f>Q45-Q58</f>
        <v>12651.243644611328</v>
      </c>
      <c r="S60" s="963">
        <f>S45-S58</f>
        <v>12659.262770967558</v>
      </c>
      <c r="U60" s="963">
        <f>U45-U58</f>
        <v>12500.572719356278</v>
      </c>
      <c r="W60" s="963">
        <f>W45-W58</f>
        <v>12165.1466076168</v>
      </c>
      <c r="Y60" s="963">
        <f>Y45-Y58</f>
        <v>11642.501464894274</v>
      </c>
      <c r="AA60" s="963">
        <f>AA45-AA58</f>
        <v>10921.679632914835</v>
      </c>
      <c r="AC60" s="963">
        <f>AC45-AC58</f>
        <v>9991.229450274026</v>
      </c>
      <c r="AE60" s="963">
        <f>AE45-AE58</f>
        <v>8839.1851929969853</v>
      </c>
      <c r="AG60" s="963">
        <f>AG45-AG58</f>
        <v>7453.0462436343078</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3">
        <f>E60*$C$62</f>
        <v>9610.6500000000233</v>
      </c>
      <c r="G62" s="963">
        <f>G60*$C$62</f>
        <v>10431.726249999949</v>
      </c>
      <c r="I62" s="963">
        <f>I60*$C$62</f>
        <v>11137.634256249992</v>
      </c>
      <c r="K62" s="963">
        <f>K60*$C$62</f>
        <v>11720.730107406271</v>
      </c>
      <c r="M62" s="963">
        <f>M60*$C$62</f>
        <v>12173.011722157709</v>
      </c>
      <c r="O62" s="963">
        <f>O60*$C$62</f>
        <v>12486.104041300132</v>
      </c>
      <c r="Q62" s="963">
        <f>Q60*$C$62</f>
        <v>12651.243644611328</v>
      </c>
      <c r="S62" s="963">
        <f>S60*$C$62</f>
        <v>12659.262770967558</v>
      </c>
      <c r="U62" s="963">
        <v>6326.6700000017881</v>
      </c>
      <c r="W62" s="963">
        <v>0</v>
      </c>
      <c r="Y62" s="963">
        <v>0</v>
      </c>
      <c r="AA62" s="963">
        <v>0</v>
      </c>
      <c r="AC62" s="963">
        <v>0</v>
      </c>
      <c r="AE62" s="963">
        <v>0</v>
      </c>
      <c r="AG62" s="963">
        <v>0</v>
      </c>
    </row>
    <row r="63" spans="1:34" s="963" customFormat="1">
      <c r="A63" s="2699" t="s">
        <v>2749</v>
      </c>
      <c r="B63" s="2699"/>
      <c r="C63" s="2699"/>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2750</v>
      </c>
      <c r="B66" s="965"/>
      <c r="C66" s="964"/>
      <c r="E66" s="966">
        <f>($E60*$C$65)*0+(E$60-E$62)*$C$65</f>
        <v>0</v>
      </c>
      <c r="G66" s="963">
        <f t="shared" ref="G66:AG66" si="2">($E60*$C$65)*0+(G$60-G$62)*$C$65</f>
        <v>0</v>
      </c>
      <c r="I66" s="963">
        <f t="shared" si="2"/>
        <v>0</v>
      </c>
      <c r="K66" s="963">
        <f t="shared" si="2"/>
        <v>0</v>
      </c>
      <c r="M66" s="963">
        <f t="shared" si="2"/>
        <v>0</v>
      </c>
      <c r="O66" s="963">
        <f t="shared" si="2"/>
        <v>0</v>
      </c>
      <c r="Q66" s="963">
        <f t="shared" si="2"/>
        <v>0</v>
      </c>
      <c r="S66" s="963">
        <f t="shared" si="2"/>
        <v>0</v>
      </c>
      <c r="U66" s="963">
        <f t="shared" si="2"/>
        <v>1543.4756798386225</v>
      </c>
      <c r="W66" s="963">
        <f t="shared" si="2"/>
        <v>3041.2866519042</v>
      </c>
      <c r="Y66" s="963">
        <f t="shared" si="2"/>
        <v>2910.6253662235686</v>
      </c>
      <c r="AA66" s="963">
        <f t="shared" si="2"/>
        <v>2730.4199082287087</v>
      </c>
      <c r="AC66" s="963">
        <f t="shared" si="2"/>
        <v>2497.8073625685065</v>
      </c>
      <c r="AE66" s="963">
        <f t="shared" si="2"/>
        <v>2209.7962982492463</v>
      </c>
      <c r="AG66" s="963">
        <f t="shared" si="2"/>
        <v>1863.2615609085769</v>
      </c>
    </row>
    <row r="67" spans="1:34" s="961" customFormat="1">
      <c r="A67" s="966" t="s">
        <v>2751</v>
      </c>
      <c r="B67" s="966"/>
      <c r="C67" s="971"/>
      <c r="E67" s="966">
        <f>($E61*$C$65)*0+(E$60-E$62)*$C$65</f>
        <v>0</v>
      </c>
      <c r="F67" s="963"/>
      <c r="G67" s="963">
        <f t="shared" ref="G67:AG67" si="3">($E61*$C$65)*0+(G$60-G$62)*$C$65</f>
        <v>0</v>
      </c>
      <c r="H67" s="963"/>
      <c r="I67" s="963">
        <f t="shared" si="3"/>
        <v>0</v>
      </c>
      <c r="J67" s="963"/>
      <c r="K67" s="963">
        <f t="shared" si="3"/>
        <v>0</v>
      </c>
      <c r="L67" s="963"/>
      <c r="M67" s="963">
        <f t="shared" si="3"/>
        <v>0</v>
      </c>
      <c r="N67" s="963"/>
      <c r="O67" s="963">
        <f t="shared" si="3"/>
        <v>0</v>
      </c>
      <c r="P67" s="963"/>
      <c r="Q67" s="963">
        <f t="shared" si="3"/>
        <v>0</v>
      </c>
      <c r="R67" s="963"/>
      <c r="S67" s="963">
        <f t="shared" si="3"/>
        <v>0</v>
      </c>
      <c r="T67" s="963"/>
      <c r="U67" s="963">
        <f t="shared" si="3"/>
        <v>1543.4756798386225</v>
      </c>
      <c r="V67" s="963"/>
      <c r="W67" s="963">
        <f t="shared" si="3"/>
        <v>3041.2866519042</v>
      </c>
      <c r="X67" s="963"/>
      <c r="Y67" s="963">
        <f t="shared" si="3"/>
        <v>2910.6253662235686</v>
      </c>
      <c r="Z67" s="963"/>
      <c r="AA67" s="963">
        <f t="shared" si="3"/>
        <v>2730.4199082287087</v>
      </c>
      <c r="AB67" s="963"/>
      <c r="AC67" s="963">
        <f t="shared" si="3"/>
        <v>2497.8073625685065</v>
      </c>
      <c r="AD67" s="963"/>
      <c r="AE67" s="963">
        <f t="shared" si="3"/>
        <v>2209.7962982492463</v>
      </c>
      <c r="AF67" s="963"/>
      <c r="AG67" s="963">
        <f t="shared" si="3"/>
        <v>1863.2615609085769</v>
      </c>
    </row>
    <row r="68" spans="1:34" s="961" customFormat="1">
      <c r="A68" s="966"/>
      <c r="B68" s="966"/>
      <c r="C68" s="971"/>
      <c r="E68" s="966"/>
      <c r="G68" s="961">
        <f t="shared" ref="G68:AG69" si="4">E68*$C$66</f>
        <v>0</v>
      </c>
      <c r="I68" s="961">
        <f t="shared" si="4"/>
        <v>0</v>
      </c>
      <c r="K68" s="961">
        <f t="shared" si="4"/>
        <v>0</v>
      </c>
      <c r="M68" s="961">
        <f t="shared" si="4"/>
        <v>0</v>
      </c>
      <c r="O68" s="961">
        <f t="shared" si="4"/>
        <v>0</v>
      </c>
      <c r="Q68" s="961">
        <f t="shared" si="4"/>
        <v>0</v>
      </c>
      <c r="S68" s="961">
        <f t="shared" si="4"/>
        <v>0</v>
      </c>
      <c r="U68" s="961">
        <f t="shared" si="4"/>
        <v>0</v>
      </c>
      <c r="W68" s="961">
        <f t="shared" si="4"/>
        <v>0</v>
      </c>
      <c r="Y68" s="961">
        <f t="shared" si="4"/>
        <v>0</v>
      </c>
      <c r="AA68" s="961">
        <f t="shared" si="4"/>
        <v>0</v>
      </c>
      <c r="AC68" s="961">
        <f t="shared" si="4"/>
        <v>0</v>
      </c>
      <c r="AE68" s="961">
        <f t="shared" si="4"/>
        <v>0</v>
      </c>
      <c r="AG68" s="961">
        <f t="shared" si="4"/>
        <v>0</v>
      </c>
    </row>
    <row r="69" spans="1:34" s="961" customFormat="1">
      <c r="A69" s="966"/>
      <c r="B69" s="966"/>
      <c r="C69" s="971"/>
      <c r="E69" s="968"/>
      <c r="G69" s="969">
        <f t="shared" si="4"/>
        <v>0</v>
      </c>
      <c r="I69" s="969">
        <f t="shared" si="4"/>
        <v>0</v>
      </c>
      <c r="K69" s="969">
        <f t="shared" si="4"/>
        <v>0</v>
      </c>
      <c r="M69" s="969">
        <f t="shared" si="4"/>
        <v>0</v>
      </c>
      <c r="O69" s="969">
        <f t="shared" si="4"/>
        <v>0</v>
      </c>
      <c r="Q69" s="969">
        <f t="shared" si="4"/>
        <v>0</v>
      </c>
      <c r="S69" s="969">
        <f t="shared" si="4"/>
        <v>0</v>
      </c>
      <c r="U69" s="969">
        <f t="shared" si="4"/>
        <v>0</v>
      </c>
      <c r="W69" s="969">
        <f t="shared" si="4"/>
        <v>0</v>
      </c>
      <c r="Y69" s="969">
        <f t="shared" si="4"/>
        <v>0</v>
      </c>
      <c r="AA69" s="969">
        <f t="shared" si="4"/>
        <v>0</v>
      </c>
      <c r="AC69" s="969">
        <f t="shared" si="4"/>
        <v>0</v>
      </c>
      <c r="AE69" s="969">
        <f t="shared" si="4"/>
        <v>0</v>
      </c>
      <c r="AG69" s="969">
        <f t="shared" si="4"/>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3086.9513596772449</v>
      </c>
      <c r="W70" s="961">
        <f>SUM(W66:W69)</f>
        <v>6082.5733038083999</v>
      </c>
      <c r="Y70" s="961">
        <f>SUM(Y66:Y69)</f>
        <v>5821.2507324471371</v>
      </c>
      <c r="AA70" s="961">
        <f>SUM(AA66:AA69)</f>
        <v>5460.8398164574173</v>
      </c>
      <c r="AC70" s="961">
        <f>SUM(AC66:AC69)</f>
        <v>4995.614725137013</v>
      </c>
      <c r="AE70" s="961">
        <f>SUM(AE66:AE69)</f>
        <v>4419.5925964984926</v>
      </c>
      <c r="AG70" s="961">
        <f>SUM(AG66:AG69)</f>
        <v>3726.5231218171539</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3086.9513596772449</v>
      </c>
      <c r="W72" s="963">
        <f>W60-W62-W70</f>
        <v>6082.5733038083999</v>
      </c>
      <c r="Y72" s="963">
        <f>Y60-Y62-Y70</f>
        <v>5821.2507324471371</v>
      </c>
      <c r="AA72" s="963">
        <f>AA60-AA62-AA70</f>
        <v>5460.8398164574173</v>
      </c>
      <c r="AC72" s="963">
        <f>AC60-AC62-AC70</f>
        <v>4995.614725137013</v>
      </c>
      <c r="AE72" s="963">
        <f>AE60-AE62-AE70</f>
        <v>4419.5925964984926</v>
      </c>
      <c r="AG72" s="963">
        <f>AG60-AG62-AG70</f>
        <v>3726.5231218171539</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7" t="s">
        <v>1721</v>
      </c>
      <c r="B77" s="2698"/>
      <c r="C77" s="2698"/>
      <c r="D77" s="2698"/>
      <c r="E77" s="2698"/>
      <c r="F77" s="2698"/>
      <c r="G77" s="2698"/>
      <c r="H77" s="2698"/>
      <c r="I77" s="2698"/>
      <c r="J77" s="2698"/>
      <c r="K77" s="2698"/>
      <c r="L77" s="2698"/>
      <c r="M77" s="2698"/>
      <c r="N77" s="2698"/>
      <c r="O77" s="2698"/>
      <c r="P77" s="2698"/>
      <c r="Q77" s="2698"/>
      <c r="R77" s="2698"/>
      <c r="S77" s="2698"/>
      <c r="T77" s="2698"/>
      <c r="U77" s="2698"/>
      <c r="V77" s="2698"/>
      <c r="W77" s="2698"/>
      <c r="X77" s="2698"/>
      <c r="Y77" s="2698"/>
      <c r="Z77" s="2698"/>
      <c r="AA77" s="2698"/>
      <c r="AB77" s="2698"/>
      <c r="AC77" s="2698"/>
      <c r="AD77" s="2698"/>
      <c r="AE77" s="2698"/>
      <c r="AF77" s="2698"/>
      <c r="AG77" s="26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1935150</v>
      </c>
      <c r="C5" s="267">
        <f>'Sources and Uses Budget'!$C4</f>
        <v>1935150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1935150</v>
      </c>
      <c r="C9" s="271">
        <f>SUM(C5:C8)</f>
        <v>1935150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1935150</v>
      </c>
      <c r="C13" s="271">
        <f>SUM(C9+C12)</f>
        <v>1935150</v>
      </c>
      <c r="D13" s="271">
        <f t="shared" si="0"/>
        <v>0</v>
      </c>
      <c r="E13" s="269"/>
      <c r="F13" s="268"/>
    </row>
    <row r="14" spans="1:6" s="353" customFormat="1">
      <c r="A14" s="367" t="s">
        <v>902</v>
      </c>
      <c r="B14" s="267">
        <f>'Sources and Uses Budget'!$C13</f>
        <v>471245</v>
      </c>
      <c r="C14" s="267">
        <f>'Sources and Uses Budget'!$C13</f>
        <v>471245</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18778091</v>
      </c>
      <c r="C31" s="267">
        <f>'Sources and Uses Budget'!$C30</f>
        <v>18778091</v>
      </c>
      <c r="D31" s="271">
        <f t="shared" si="0"/>
        <v>0</v>
      </c>
      <c r="E31" s="269"/>
      <c r="F31" s="268"/>
    </row>
    <row r="32" spans="1:6" s="353" customFormat="1">
      <c r="A32" s="145" t="s">
        <v>600</v>
      </c>
      <c r="B32" s="267">
        <f>'Sources and Uses Budget'!$C31</f>
        <v>1583694</v>
      </c>
      <c r="C32" s="267">
        <f>'Sources and Uses Budget'!$C31</f>
        <v>1583694</v>
      </c>
      <c r="D32" s="271">
        <f t="shared" si="0"/>
        <v>0</v>
      </c>
      <c r="E32" s="269"/>
      <c r="F32" s="268"/>
    </row>
    <row r="33" spans="1:6" s="353" customFormat="1">
      <c r="A33" s="145" t="s">
        <v>137</v>
      </c>
      <c r="B33" s="267">
        <f>'Sources and Uses Budget'!$C32</f>
        <v>1583694</v>
      </c>
      <c r="C33" s="267">
        <f>'Sources and Uses Budget'!$C32</f>
        <v>1583694</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3846115</v>
      </c>
      <c r="C35" s="267">
        <f>'Sources and Uses Budget'!$C34</f>
        <v>3846115</v>
      </c>
      <c r="D35" s="271">
        <f t="shared" si="0"/>
        <v>0</v>
      </c>
      <c r="E35" s="269"/>
      <c r="F35" s="268"/>
    </row>
    <row r="36" spans="1:6" s="353" customFormat="1">
      <c r="A36" s="145" t="s">
        <v>140</v>
      </c>
      <c r="B36" s="267">
        <f>'Sources and Uses Budget'!$C35</f>
        <v>515832</v>
      </c>
      <c r="C36" s="267">
        <f>'Sources and Uses Budget'!$C35</f>
        <v>515832</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P&amp;P Bond</v>
      </c>
      <c r="B38" s="267">
        <f>'Sources and Uses Budget'!$C37</f>
        <v>263074</v>
      </c>
      <c r="C38" s="267">
        <f>'Sources and Uses Budget'!$C37</f>
        <v>263074</v>
      </c>
      <c r="D38" s="271">
        <f t="shared" si="0"/>
        <v>0</v>
      </c>
      <c r="E38" s="269"/>
      <c r="F38" s="268"/>
    </row>
    <row r="39" spans="1:6" s="353" customFormat="1" ht="13">
      <c r="A39" s="272" t="s">
        <v>143</v>
      </c>
      <c r="B39" s="271">
        <f>SUM(B30:B38)</f>
        <v>26570500</v>
      </c>
      <c r="C39" s="271">
        <f>SUM(C30:C38)</f>
        <v>26570500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906718</v>
      </c>
      <c r="C41" s="267">
        <f>'Sources and Uses Budget'!$C40</f>
        <v>906718</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906718</v>
      </c>
      <c r="C43" s="271">
        <f>SUM(C41:C42)</f>
        <v>906718</v>
      </c>
      <c r="D43" s="271">
        <f t="shared" si="0"/>
        <v>0</v>
      </c>
      <c r="E43" s="269"/>
      <c r="F43" s="268"/>
    </row>
    <row r="44" spans="1:6" s="353" customFormat="1" ht="13">
      <c r="A44" s="272" t="s">
        <v>148</v>
      </c>
      <c r="B44" s="267">
        <f>'Sources and Uses Budget'!$C43</f>
        <v>320839</v>
      </c>
      <c r="C44" s="267">
        <f>'Sources and Uses Budget'!$C43</f>
        <v>320839</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1357033</v>
      </c>
      <c r="C46" s="267">
        <f>'Sources and Uses Budget'!$C45</f>
        <v>1357033</v>
      </c>
      <c r="D46" s="271">
        <f t="shared" si="0"/>
        <v>0</v>
      </c>
      <c r="E46" s="269"/>
      <c r="F46" s="268"/>
    </row>
    <row r="47" spans="1:6" s="353" customFormat="1">
      <c r="A47" s="145" t="s">
        <v>151</v>
      </c>
      <c r="B47" s="267">
        <f>'Sources and Uses Budget'!$C46</f>
        <v>207932</v>
      </c>
      <c r="C47" s="267">
        <f>'Sources and Uses Budget'!$C46</f>
        <v>207932</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170707</v>
      </c>
      <c r="C49" s="267">
        <f>'Sources and Uses Budget'!$C48</f>
        <v>170707</v>
      </c>
      <c r="D49" s="271">
        <f t="shared" si="0"/>
        <v>0</v>
      </c>
      <c r="E49" s="269"/>
      <c r="F49" s="268"/>
    </row>
    <row r="50" spans="1:6" s="353" customFormat="1">
      <c r="A50" s="145" t="s">
        <v>57</v>
      </c>
      <c r="B50" s="267">
        <f>'Sources and Uses Budget'!$C49</f>
        <v>49102</v>
      </c>
      <c r="C50" s="267">
        <f>'Sources and Uses Budget'!$C49</f>
        <v>49102</v>
      </c>
      <c r="D50" s="271">
        <f t="shared" si="0"/>
        <v>0</v>
      </c>
      <c r="E50" s="269"/>
      <c r="F50" s="268"/>
    </row>
    <row r="51" spans="1:6" s="353" customFormat="1">
      <c r="A51" s="145" t="s">
        <v>156</v>
      </c>
      <c r="B51" s="267">
        <f>'Sources and Uses Budget'!$C50</f>
        <v>48500</v>
      </c>
      <c r="C51" s="267">
        <f>'Sources and Uses Budget'!$C50</f>
        <v>48500</v>
      </c>
      <c r="D51" s="271">
        <f t="shared" si="0"/>
        <v>0</v>
      </c>
      <c r="E51" s="269"/>
      <c r="F51" s="268"/>
    </row>
    <row r="52" spans="1:6" s="353" customFormat="1">
      <c r="A52" s="284" t="s">
        <v>154</v>
      </c>
      <c r="B52" s="267">
        <f>'Sources and Uses Budget'!$C51</f>
        <v>67730</v>
      </c>
      <c r="C52" s="267">
        <f>'Sources and Uses Budget'!$C51</f>
        <v>67730</v>
      </c>
      <c r="D52" s="271">
        <f t="shared" si="0"/>
        <v>0</v>
      </c>
      <c r="E52" s="269"/>
      <c r="F52" s="268"/>
    </row>
    <row r="53" spans="1:6" s="353" customFormat="1">
      <c r="A53" s="145" t="s">
        <v>155</v>
      </c>
      <c r="B53" s="267">
        <f>'Sources and Uses Budget'!$C52</f>
        <v>263074</v>
      </c>
      <c r="C53" s="267">
        <f>'Sources and Uses Budget'!$C52</f>
        <v>263074</v>
      </c>
      <c r="D53" s="271">
        <f t="shared" si="0"/>
        <v>0</v>
      </c>
      <c r="E53" s="269"/>
      <c r="F53" s="268"/>
    </row>
    <row r="54" spans="1:6" s="353" customFormat="1" ht="34.5">
      <c r="A54" s="155" t="str">
        <f>'Sources and Uses Budget'!A53</f>
        <v>Other: Construction-Lender Legal, Bond Counsel, Bond Trustee Fee and Counsel, lender 3rd party costs, lender monitoring fee</v>
      </c>
      <c r="B54" s="267">
        <f>'Sources and Uses Budget'!$C53</f>
        <v>203013</v>
      </c>
      <c r="C54" s="267">
        <f>'Sources and Uses Budget'!$C53</f>
        <v>203013</v>
      </c>
      <c r="D54" s="271">
        <f t="shared" si="0"/>
        <v>0</v>
      </c>
      <c r="E54" s="269"/>
      <c r="F54" s="268"/>
    </row>
    <row r="55" spans="1:6" s="354" customFormat="1" ht="13">
      <c r="A55" s="272" t="s">
        <v>157</v>
      </c>
      <c r="B55" s="274">
        <f>SUM(B46:B54)</f>
        <v>2367091</v>
      </c>
      <c r="C55" s="274">
        <f>SUM(C46:C54)</f>
        <v>2367091</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9700</v>
      </c>
      <c r="C57" s="267">
        <f>'Sources and Uses Budget'!$C56</f>
        <v>9700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14550</v>
      </c>
      <c r="C59" s="267">
        <f>'Sources and Uses Budget'!$C58</f>
        <v>14550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Permanent Loan Legal</v>
      </c>
      <c r="B62" s="267">
        <f>'Sources and Uses Budget'!$C61</f>
        <v>4850</v>
      </c>
      <c r="C62" s="267">
        <f>'Sources and Uses Budget'!$C61</f>
        <v>4850</v>
      </c>
      <c r="D62" s="271">
        <f t="shared" si="0"/>
        <v>0</v>
      </c>
      <c r="E62" s="269"/>
      <c r="F62" s="268"/>
    </row>
    <row r="63" spans="1:6" s="353" customFormat="1" ht="13.75" customHeight="1">
      <c r="A63" s="272" t="s">
        <v>301</v>
      </c>
      <c r="B63" s="271">
        <f>SUM(B57:B62)</f>
        <v>29100</v>
      </c>
      <c r="C63" s="271">
        <f>SUM(C57:C62)</f>
        <v>29100</v>
      </c>
      <c r="D63" s="271">
        <f t="shared" si="0"/>
        <v>0</v>
      </c>
      <c r="E63" s="269"/>
      <c r="F63" s="268"/>
    </row>
    <row r="64" spans="1:6" s="353" customFormat="1" ht="13">
      <c r="A64" s="275" t="s">
        <v>302</v>
      </c>
      <c r="B64" s="271">
        <f>SUM(B9+B12+B14+B15+B17+B26+B28+B39+B43+B44+B55+B63)</f>
        <v>32600643</v>
      </c>
      <c r="C64" s="271">
        <f>SUM(C9+C12+C14+C15+C17+C26+C28+C39+C43+C44+C55+C63)</f>
        <v>32600643</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9700</v>
      </c>
      <c r="C66" s="267">
        <f>'Sources and Uses Budget'!$C65</f>
        <v>9700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9700</v>
      </c>
      <c r="C68" s="267">
        <f>'Sources and Uses Budget'!$C67</f>
        <v>9700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Transaction-Construction</v>
      </c>
      <c r="B70" s="267">
        <f>'Sources and Uses Budget'!$C69</f>
        <v>33950</v>
      </c>
      <c r="C70" s="267">
        <f>'Sources and Uses Budget'!$C69</f>
        <v>33950</v>
      </c>
      <c r="D70" s="271">
        <f t="shared" si="0"/>
        <v>0</v>
      </c>
      <c r="E70" s="269"/>
      <c r="F70" s="268"/>
    </row>
    <row r="71" spans="1:6" s="353" customFormat="1">
      <c r="A71" s="149" t="s">
        <v>1645</v>
      </c>
      <c r="B71" s="271">
        <f>SUM(B66:B70)</f>
        <v>53350</v>
      </c>
      <c r="C71" s="271">
        <f>SUM(C66:C70)</f>
        <v>53350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126715</v>
      </c>
      <c r="C76" s="267">
        <f>'Sources and Uses Budget'!$C75</f>
        <v>126715</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126715</v>
      </c>
      <c r="C78" s="271">
        <f>SUM(C73:C77)</f>
        <v>126715</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1328525</v>
      </c>
      <c r="C80" s="267">
        <f>'Sources and Uses Budget'!$C79</f>
        <v>1328525</v>
      </c>
      <c r="D80" s="271">
        <f t="shared" si="1"/>
        <v>0</v>
      </c>
      <c r="E80" s="269"/>
      <c r="F80" s="268"/>
    </row>
    <row r="81" spans="1:6" s="353" customFormat="1">
      <c r="A81" s="511" t="s">
        <v>58</v>
      </c>
      <c r="B81" s="267">
        <f>'Sources and Uses Budget'!$C80</f>
        <v>97822</v>
      </c>
      <c r="C81" s="267">
        <f>'Sources and Uses Budget'!$C80</f>
        <v>97822</v>
      </c>
      <c r="D81" s="271">
        <f>C81-B81</f>
        <v>0</v>
      </c>
      <c r="E81" s="269"/>
      <c r="F81" s="268"/>
    </row>
    <row r="82" spans="1:6" s="353" customFormat="1" ht="13">
      <c r="A82" s="272" t="s">
        <v>1209</v>
      </c>
      <c r="B82" s="271">
        <f>SUM(B80:B81)</f>
        <v>1426347</v>
      </c>
      <c r="C82" s="271">
        <f>SUM(C80:C81)</f>
        <v>1426347</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42248</v>
      </c>
      <c r="C84" s="267">
        <f>'Sources and Uses Budget'!$C83</f>
        <v>42248</v>
      </c>
      <c r="D84" s="271">
        <f t="shared" si="1"/>
        <v>0</v>
      </c>
      <c r="E84" s="269"/>
      <c r="F84" s="268"/>
    </row>
    <row r="85" spans="1:6" s="353" customFormat="1">
      <c r="A85" s="270" t="s">
        <v>767</v>
      </c>
      <c r="B85" s="267">
        <f>'Sources and Uses Budget'!$C84</f>
        <v>48500</v>
      </c>
      <c r="C85" s="267">
        <f>'Sources and Uses Budget'!$C84</f>
        <v>48500</v>
      </c>
      <c r="D85" s="271">
        <f t="shared" si="1"/>
        <v>0</v>
      </c>
      <c r="E85" s="269"/>
      <c r="F85" s="268"/>
    </row>
    <row r="86" spans="1:6" s="353" customFormat="1">
      <c r="A86" s="270" t="s">
        <v>768</v>
      </c>
      <c r="B86" s="267">
        <f>'Sources and Uses Budget'!$C85</f>
        <v>1634515</v>
      </c>
      <c r="C86" s="267">
        <f>'Sources and Uses Budget'!$C85</f>
        <v>1634515</v>
      </c>
      <c r="D86" s="271">
        <f t="shared" si="1"/>
        <v>0</v>
      </c>
      <c r="E86" s="269"/>
      <c r="F86" s="268"/>
    </row>
    <row r="87" spans="1:6" s="353" customFormat="1">
      <c r="A87" s="270" t="s">
        <v>769</v>
      </c>
      <c r="B87" s="267">
        <f>'Sources and Uses Budget'!$C86</f>
        <v>130404</v>
      </c>
      <c r="C87" s="267">
        <f>'Sources and Uses Budget'!$C86</f>
        <v>130404</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25000</v>
      </c>
      <c r="C89" s="267">
        <f>'Sources and Uses Budget'!$C88</f>
        <v>25000</v>
      </c>
      <c r="D89" s="271">
        <f t="shared" si="1"/>
        <v>0</v>
      </c>
      <c r="E89" s="269"/>
      <c r="F89" s="268"/>
    </row>
    <row r="90" spans="1:6" s="353" customFormat="1">
      <c r="A90" s="270" t="s">
        <v>772</v>
      </c>
      <c r="B90" s="267">
        <f>'Sources and Uses Budget'!$C89</f>
        <v>103232</v>
      </c>
      <c r="C90" s="267">
        <f>'Sources and Uses Budget'!$C89</f>
        <v>103232</v>
      </c>
      <c r="D90" s="271">
        <f t="shared" si="1"/>
        <v>0</v>
      </c>
      <c r="E90" s="269"/>
      <c r="F90" s="268"/>
    </row>
    <row r="91" spans="1:6" s="353" customFormat="1">
      <c r="A91" s="270" t="s">
        <v>773</v>
      </c>
      <c r="B91" s="267">
        <f>'Sources and Uses Budget'!$C90</f>
        <v>9700</v>
      </c>
      <c r="C91" s="267">
        <f>'Sources and Uses Budget'!$C90</f>
        <v>9700</v>
      </c>
      <c r="D91" s="271">
        <f t="shared" si="1"/>
        <v>0</v>
      </c>
      <c r="E91" s="269"/>
      <c r="F91" s="268"/>
    </row>
    <row r="92" spans="1:6" s="353" customFormat="1">
      <c r="A92" s="270" t="s">
        <v>372</v>
      </c>
      <c r="B92" s="267">
        <f>'Sources and Uses Budget'!$C91</f>
        <v>38800</v>
      </c>
      <c r="C92" s="267">
        <f>'Sources and Uses Budget'!$C91</f>
        <v>38800</v>
      </c>
      <c r="D92" s="271">
        <f t="shared" si="1"/>
        <v>0</v>
      </c>
      <c r="E92" s="269"/>
      <c r="F92" s="268"/>
    </row>
    <row r="93" spans="1:6" s="353" customFormat="1">
      <c r="A93" s="511" t="s">
        <v>1211</v>
      </c>
      <c r="B93" s="267">
        <f>'Sources and Uses Budget'!$C92</f>
        <v>14550</v>
      </c>
      <c r="C93" s="267">
        <f>'Sources and Uses Budget'!$C92</f>
        <v>14550</v>
      </c>
      <c r="D93" s="271">
        <f t="shared" si="1"/>
        <v>0</v>
      </c>
      <c r="E93" s="269"/>
      <c r="F93" s="268"/>
    </row>
    <row r="94" spans="1:6" s="353" customFormat="1">
      <c r="A94" s="273" t="s">
        <v>34</v>
      </c>
      <c r="B94" s="267">
        <f>'Sources and Uses Budget'!$C93</f>
        <v>242500</v>
      </c>
      <c r="C94" s="267">
        <f>'Sources and Uses Budget'!$C93</f>
        <v>242500</v>
      </c>
      <c r="D94" s="271">
        <f t="shared" si="1"/>
        <v>0</v>
      </c>
      <c r="E94" s="269"/>
      <c r="F94" s="268"/>
    </row>
    <row r="95" spans="1:6" s="353" customFormat="1">
      <c r="A95" s="273" t="s">
        <v>34</v>
      </c>
      <c r="B95" s="267">
        <f>'Sources and Uses Budget'!$C94</f>
        <v>247350</v>
      </c>
      <c r="C95" s="267">
        <f>'Sources and Uses Budget'!$C94</f>
        <v>247350</v>
      </c>
      <c r="D95" s="271">
        <f t="shared" si="1"/>
        <v>0</v>
      </c>
      <c r="E95" s="269"/>
      <c r="F95" s="268"/>
    </row>
    <row r="96" spans="1:6" s="353" customFormat="1">
      <c r="A96" s="273" t="s">
        <v>34</v>
      </c>
      <c r="B96" s="267">
        <f>'Sources and Uses Budget'!$C95</f>
        <v>58200</v>
      </c>
      <c r="C96" s="267">
        <f>'Sources and Uses Budget'!$C95</f>
        <v>58200</v>
      </c>
      <c r="D96" s="271">
        <f t="shared" si="1"/>
        <v>0</v>
      </c>
      <c r="E96" s="269"/>
      <c r="F96" s="268"/>
    </row>
    <row r="97" spans="1:6" s="353" customFormat="1" ht="13">
      <c r="A97" s="272" t="s">
        <v>774</v>
      </c>
      <c r="B97" s="271">
        <f>SUM(B84:B96)</f>
        <v>2594999</v>
      </c>
      <c r="C97" s="271">
        <f>SUM(C84:C96)</f>
        <v>2594999</v>
      </c>
      <c r="D97" s="271">
        <f t="shared" si="1"/>
        <v>0</v>
      </c>
      <c r="E97" s="269"/>
      <c r="F97" s="268"/>
    </row>
    <row r="98" spans="1:6" s="353" customFormat="1" ht="13">
      <c r="A98" s="272" t="s">
        <v>775</v>
      </c>
      <c r="B98" s="271">
        <f>SUM(B64+B71+B78+B82+B97)</f>
        <v>36802054</v>
      </c>
      <c r="C98" s="271">
        <f>SUM(C64+C71+C78+C82+C97)</f>
        <v>36802054</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4863221</v>
      </c>
      <c r="C100" s="267">
        <f>'Sources and Uses Budget'!$C99</f>
        <v>4863221</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4863221</v>
      </c>
      <c r="C105" s="271">
        <f>SUM(C100:C104)</f>
        <v>4863221</v>
      </c>
      <c r="D105" s="271">
        <f t="shared" si="1"/>
        <v>0</v>
      </c>
      <c r="E105" s="269"/>
      <c r="F105" s="268"/>
    </row>
    <row r="106" spans="1:6" s="353" customFormat="1" ht="13">
      <c r="A106" s="272" t="s">
        <v>780</v>
      </c>
      <c r="B106" s="274">
        <f>SUM(B98+B105)</f>
        <v>41665275</v>
      </c>
      <c r="C106" s="274">
        <f>SUM(C98+C105)</f>
        <v>41665275</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8" t="s">
        <v>2046</v>
      </c>
      <c r="B72" s="1268"/>
      <c r="C72" s="1268"/>
      <c r="D72" s="1268"/>
      <c r="E72" s="1268"/>
    </row>
    <row r="73" spans="1:9" ht="12.5">
      <c r="A73" s="1268" t="s">
        <v>2047</v>
      </c>
      <c r="B73" s="1268"/>
      <c r="C73" s="1268"/>
      <c r="D73" s="1268"/>
      <c r="E73" s="1268"/>
    </row>
    <row r="74" spans="1:9" ht="12.5">
      <c r="A74" s="1268" t="s">
        <v>1871</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90" zoomScaleNormal="90" workbookViewId="0">
      <selection activeCell="D13" sqref="D13:F13"/>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5"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c r="A15" s="485"/>
      <c r="B15" s="486" t="s">
        <v>2632</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c r="A20" s="485"/>
      <c r="B20" s="486" t="s">
        <v>2632</v>
      </c>
      <c r="D20" s="1300" t="s">
        <v>1923</v>
      </c>
      <c r="E20" s="1300"/>
      <c r="F20" s="1300"/>
      <c r="I20" s="491"/>
    </row>
    <row r="21" spans="1:9">
      <c r="A21" s="485"/>
      <c r="D21" s="1300"/>
      <c r="E21" s="1300"/>
      <c r="F21" s="1300"/>
      <c r="I21" s="491"/>
    </row>
    <row r="22" spans="1:9">
      <c r="A22" s="485"/>
      <c r="D22" s="393"/>
      <c r="E22" s="96" t="s">
        <v>1919</v>
      </c>
      <c r="F22" s="393"/>
      <c r="I22" s="491"/>
    </row>
    <row r="23" spans="1:9">
      <c r="A23" s="485"/>
      <c r="B23" s="485"/>
      <c r="D23" s="447"/>
      <c r="I23" s="491"/>
    </row>
    <row r="24" spans="1:9">
      <c r="A24" s="485"/>
      <c r="B24" s="486" t="s">
        <v>2631</v>
      </c>
      <c r="D24" s="1300" t="s">
        <v>1091</v>
      </c>
      <c r="E24" s="1300"/>
      <c r="F24" s="1300"/>
      <c r="I24" s="491"/>
    </row>
    <row r="25" spans="1:9">
      <c r="A25" s="485"/>
      <c r="B25" s="485"/>
      <c r="D25" s="1300"/>
      <c r="E25" s="1300"/>
      <c r="F25" s="1300"/>
      <c r="I25" s="491"/>
    </row>
    <row r="26" spans="1:9">
      <c r="I26" s="491"/>
    </row>
    <row r="27" spans="1:9">
      <c r="A27" s="485"/>
      <c r="B27" s="486" t="s">
        <v>2632</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2631</v>
      </c>
      <c r="D33" s="1300" t="s">
        <v>2050</v>
      </c>
      <c r="E33" s="1300"/>
      <c r="F33" s="1300"/>
      <c r="I33" s="491"/>
    </row>
    <row r="34" spans="1:9">
      <c r="D34" s="1300"/>
      <c r="E34" s="1300"/>
      <c r="F34" s="1300"/>
      <c r="I34" s="491"/>
    </row>
    <row r="35" spans="1:9">
      <c r="A35" s="485"/>
      <c r="B35" s="485"/>
      <c r="D35" s="448"/>
      <c r="I35" s="491"/>
    </row>
    <row r="36" spans="1:9" ht="14.5" customHeight="1">
      <c r="A36" s="485"/>
      <c r="B36" s="486" t="s">
        <v>2631</v>
      </c>
      <c r="D36" s="1300" t="s">
        <v>1214</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2631</v>
      </c>
      <c r="D41" s="1300" t="s">
        <v>1092</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2632</v>
      </c>
      <c r="D47" s="1300" t="s">
        <v>1093</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2631</v>
      </c>
      <c r="D52" s="1300" t="s">
        <v>1094</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2632</v>
      </c>
      <c r="D56" s="1323" t="s">
        <v>1095</v>
      </c>
      <c r="E56" s="1323"/>
      <c r="F56" s="1323"/>
      <c r="I56" s="491"/>
    </row>
    <row r="57" spans="1:9">
      <c r="A57" s="485"/>
      <c r="B57" s="485"/>
      <c r="D57" s="1323"/>
      <c r="E57" s="1323"/>
      <c r="F57" s="1323"/>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2631</v>
      </c>
      <c r="D61" s="1300" t="s">
        <v>1096</v>
      </c>
      <c r="E61" s="1300"/>
      <c r="F61" s="1300"/>
      <c r="I61" s="491"/>
    </row>
    <row r="62" spans="1:9">
      <c r="D62" s="1300"/>
      <c r="E62" s="1300"/>
      <c r="F62" s="1300"/>
      <c r="I62" s="491"/>
    </row>
    <row r="63" spans="1:9">
      <c r="D63" s="1300"/>
      <c r="E63" s="1300"/>
      <c r="F63" s="1300"/>
      <c r="I63" s="491"/>
    </row>
    <row r="64" spans="1:9">
      <c r="I64" s="491"/>
    </row>
    <row r="65" spans="1:9">
      <c r="A65" s="485"/>
      <c r="B65" s="486" t="s">
        <v>2631</v>
      </c>
      <c r="D65" s="1300" t="s">
        <v>1097</v>
      </c>
      <c r="E65" s="1300"/>
      <c r="F65" s="1300"/>
      <c r="I65" s="491"/>
    </row>
    <row r="66" spans="1:9">
      <c r="D66" s="1300"/>
      <c r="E66" s="1300"/>
      <c r="F66" s="1300"/>
      <c r="I66" s="491"/>
    </row>
    <row r="67" spans="1:9">
      <c r="I67" s="491"/>
    </row>
    <row r="68" spans="1:9">
      <c r="A68" s="485"/>
      <c r="B68" s="486" t="s">
        <v>2631</v>
      </c>
      <c r="D68" s="1300" t="s">
        <v>1098</v>
      </c>
      <c r="E68" s="1300"/>
      <c r="F68" s="1300"/>
      <c r="I68" s="491"/>
    </row>
    <row r="69" spans="1:9">
      <c r="D69" s="1300"/>
      <c r="E69" s="1300"/>
      <c r="F69" s="1300"/>
      <c r="I69" s="491"/>
    </row>
    <row r="70" spans="1:9">
      <c r="D70" s="1300"/>
      <c r="E70" s="1300"/>
      <c r="F70" s="1300"/>
      <c r="I70" s="491"/>
    </row>
    <row r="71" spans="1:9">
      <c r="I71" s="491"/>
    </row>
    <row r="72" spans="1:9">
      <c r="A72" s="485"/>
      <c r="B72" s="486" t="s">
        <v>2631</v>
      </c>
      <c r="D72" s="1300" t="s">
        <v>1099</v>
      </c>
      <c r="E72" s="1300"/>
      <c r="F72" s="1300"/>
      <c r="I72" s="491"/>
    </row>
    <row r="73" spans="1:9">
      <c r="D73" s="1300"/>
      <c r="E73" s="1300"/>
      <c r="F73" s="1300"/>
      <c r="I73" s="491"/>
    </row>
    <row r="74" spans="1:9">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5" customHeight="1">
      <c r="A80" s="485"/>
      <c r="B80" s="486" t="s">
        <v>2632</v>
      </c>
      <c r="D80" s="1300" t="s">
        <v>1245</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2632</v>
      </c>
      <c r="D89" s="1300" t="s">
        <v>1742</v>
      </c>
      <c r="E89" s="1300"/>
      <c r="F89" s="1300"/>
      <c r="I89" s="491"/>
    </row>
    <row r="90" spans="1:9">
      <c r="A90" s="485"/>
      <c r="B90" s="485"/>
      <c r="D90" s="1300"/>
      <c r="E90" s="1300"/>
      <c r="F90" s="1300"/>
      <c r="I90" s="491"/>
    </row>
    <row r="91" spans="1:9">
      <c r="A91" s="485"/>
      <c r="B91" s="485"/>
      <c r="D91" s="446"/>
      <c r="E91" s="446"/>
      <c r="F91" s="446"/>
      <c r="I91" s="491"/>
    </row>
    <row r="92" spans="1:9">
      <c r="A92" s="485"/>
      <c r="B92" s="486" t="s">
        <v>2632</v>
      </c>
      <c r="D92" s="1300" t="s">
        <v>1745</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2632</v>
      </c>
      <c r="D96" s="1300" t="s">
        <v>1744</v>
      </c>
      <c r="E96" s="1300"/>
      <c r="F96" s="1300"/>
      <c r="I96" s="491"/>
    </row>
    <row r="97" spans="1:9" s="988" customFormat="1">
      <c r="A97" s="986"/>
      <c r="B97" s="986"/>
      <c r="C97" s="987"/>
      <c r="D97" s="1300"/>
      <c r="E97" s="1300"/>
      <c r="F97" s="1300"/>
      <c r="I97" s="1156"/>
    </row>
    <row r="98" spans="1:9">
      <c r="A98" s="485"/>
      <c r="B98" s="485"/>
      <c r="D98" s="393"/>
      <c r="E98" s="313" t="s">
        <v>1924</v>
      </c>
      <c r="F98" s="446"/>
      <c r="I98" s="491"/>
    </row>
    <row r="99" spans="1:9">
      <c r="A99" s="485"/>
      <c r="B99" s="485"/>
      <c r="D99" s="386"/>
      <c r="E99" s="386"/>
      <c r="F99" s="386"/>
      <c r="I99" s="491"/>
    </row>
    <row r="100" spans="1:9">
      <c r="A100" s="485"/>
      <c r="B100" s="486" t="s">
        <v>2631</v>
      </c>
      <c r="D100" s="1300" t="s">
        <v>1743</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2631</v>
      </c>
      <c r="D103" s="1300" t="s">
        <v>1194</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2631</v>
      </c>
      <c r="D119" s="1322" t="s">
        <v>1103</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2632</v>
      </c>
      <c r="C128" s="403"/>
      <c r="D128" s="1322" t="s">
        <v>2051</v>
      </c>
      <c r="E128" s="1322"/>
      <c r="F128" s="1322"/>
      <c r="I128" s="491"/>
    </row>
    <row r="129" spans="1:9">
      <c r="A129" s="485"/>
      <c r="B129" s="485"/>
      <c r="C129" s="403"/>
      <c r="D129" s="1322"/>
      <c r="E129" s="1322"/>
      <c r="F129" s="1322"/>
      <c r="I129" s="491"/>
    </row>
    <row r="130" spans="1:9">
      <c r="I130" s="491"/>
    </row>
    <row r="131" spans="1:9">
      <c r="A131" s="485"/>
      <c r="B131" s="486" t="s">
        <v>2632</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2632</v>
      </c>
      <c r="D137" s="1300" t="s">
        <v>1105</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2632</v>
      </c>
      <c r="D151" s="1300" t="s">
        <v>1177</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2074</v>
      </c>
      <c r="E169" s="1319"/>
      <c r="F169" s="1319"/>
      <c r="G169" s="508"/>
      <c r="I169" s="491"/>
    </row>
    <row r="170" spans="1:9" ht="13.75" customHeight="1">
      <c r="D170" s="1317"/>
      <c r="E170" s="1317"/>
      <c r="F170" s="1317"/>
      <c r="G170" s="1317"/>
      <c r="I170" s="491"/>
    </row>
    <row r="171" spans="1:9" ht="14.5" customHeight="1">
      <c r="A171" s="490"/>
      <c r="B171" s="486" t="s">
        <v>2631</v>
      </c>
      <c r="C171" s="477"/>
      <c r="D171" s="1271" t="s">
        <v>2214</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2631</v>
      </c>
      <c r="C177" s="477"/>
      <c r="D177" s="1271" t="s">
        <v>1106</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2632</v>
      </c>
      <c r="D182" s="1312" t="s">
        <v>2052</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2632</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2631</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2631</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2631</v>
      </c>
      <c r="D209" s="387" t="s">
        <v>1895</v>
      </c>
      <c r="E209" s="386"/>
      <c r="F209" s="386"/>
      <c r="I209" s="491"/>
    </row>
    <row r="210" spans="1:9">
      <c r="A210" s="485"/>
      <c r="B210" s="485"/>
      <c r="D210" s="1287" t="s">
        <v>1902</v>
      </c>
      <c r="E210" s="1287"/>
      <c r="F210" s="1287"/>
      <c r="I210" s="491"/>
    </row>
    <row r="211" spans="1:9">
      <c r="D211" s="386"/>
      <c r="E211" s="1324" t="s">
        <v>1928</v>
      </c>
      <c r="F211" s="1324"/>
      <c r="I211" s="491"/>
    </row>
    <row r="212" spans="1:9">
      <c r="D212" s="448"/>
      <c r="I212" s="491"/>
    </row>
    <row r="213" spans="1:9">
      <c r="B213" s="486" t="s">
        <v>2631</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c r="A217" s="485"/>
      <c r="B217" s="486" t="s">
        <v>2631</v>
      </c>
      <c r="D217" s="1300" t="s">
        <v>1216</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5" customHeight="1">
      <c r="A227" s="491"/>
      <c r="C227" s="491"/>
      <c r="D227" s="1308" t="s">
        <v>546</v>
      </c>
      <c r="E227" s="1308"/>
      <c r="F227" s="1308"/>
      <c r="I227" s="491"/>
    </row>
    <row r="228" spans="1:9">
      <c r="A228" s="485"/>
      <c r="B228" s="486" t="s">
        <v>2632</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2632</v>
      </c>
      <c r="D233" s="1300" t="s">
        <v>1754</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1118</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2631</v>
      </c>
      <c r="D245" s="1300" t="s">
        <v>2054</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1896</v>
      </c>
      <c r="I248" s="491"/>
    </row>
    <row r="249" spans="1:9">
      <c r="A249" s="485"/>
      <c r="B249" s="485"/>
      <c r="D249" s="447"/>
      <c r="E249" s="447"/>
      <c r="F249" s="447"/>
      <c r="I249" s="491"/>
    </row>
    <row r="250" spans="1:9" ht="14.5" customHeight="1">
      <c r="A250" s="485"/>
      <c r="B250" s="486" t="s">
        <v>2631</v>
      </c>
      <c r="D250" s="1300" t="s">
        <v>2055</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2632</v>
      </c>
      <c r="D256" s="393" t="s">
        <v>2056</v>
      </c>
      <c r="E256" s="446"/>
      <c r="F256" s="446"/>
      <c r="I256" s="491"/>
    </row>
    <row r="257" spans="1:9">
      <c r="A257" s="485"/>
      <c r="B257" s="485"/>
      <c r="E257" s="1037" t="s">
        <v>1897</v>
      </c>
      <c r="I257" s="491"/>
    </row>
    <row r="258" spans="1:9">
      <c r="D258" s="447"/>
      <c r="E258" s="447"/>
      <c r="F258" s="447"/>
      <c r="I258" s="491"/>
    </row>
    <row r="259" spans="1:9">
      <c r="A259" s="485"/>
      <c r="B259" s="486" t="s">
        <v>2632</v>
      </c>
      <c r="D259" s="1300" t="s">
        <v>1119</v>
      </c>
      <c r="E259" s="1300"/>
      <c r="F259" s="1300"/>
      <c r="I259" s="491"/>
    </row>
    <row r="260" spans="1:9">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2632</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5" customHeight="1">
      <c r="A271" s="485"/>
      <c r="B271" s="486" t="s">
        <v>2631</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2631</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1124</v>
      </c>
      <c r="E288" s="1325"/>
      <c r="F288" s="1325"/>
      <c r="I288" s="491"/>
    </row>
    <row r="289" spans="1:9">
      <c r="E289" s="447"/>
      <c r="F289" s="447"/>
      <c r="I289" s="491"/>
    </row>
    <row r="290" spans="1:9">
      <c r="A290" s="485"/>
      <c r="B290" s="486" t="s">
        <v>2631</v>
      </c>
      <c r="D290" s="1300" t="s">
        <v>1125</v>
      </c>
      <c r="E290" s="1300"/>
      <c r="F290" s="1300"/>
      <c r="I290" s="491"/>
    </row>
    <row r="291" spans="1:9">
      <c r="A291" s="485"/>
      <c r="B291" s="485"/>
      <c r="D291" s="1300"/>
      <c r="E291" s="1300"/>
      <c r="F291" s="1300"/>
      <c r="I291" s="491"/>
    </row>
    <row r="292" spans="1:9">
      <c r="D292" s="447"/>
      <c r="E292" s="447"/>
      <c r="F292" s="447"/>
      <c r="I292" s="491"/>
    </row>
    <row r="293" spans="1:9">
      <c r="A293" s="485"/>
      <c r="B293" s="486" t="s">
        <v>2631</v>
      </c>
      <c r="D293" s="1300" t="s">
        <v>1126</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2631</v>
      </c>
      <c r="D297" s="1300" t="s">
        <v>1127</v>
      </c>
      <c r="E297" s="1300"/>
      <c r="F297" s="1300"/>
      <c r="I297" s="491"/>
    </row>
    <row r="298" spans="1:9">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2631</v>
      </c>
      <c r="D305" s="1298" t="s">
        <v>1129</v>
      </c>
      <c r="E305" s="1298"/>
      <c r="F305" s="1298"/>
      <c r="I305" s="491"/>
    </row>
    <row r="306" spans="1:9">
      <c r="A306" s="485"/>
      <c r="B306" s="485"/>
      <c r="D306" s="495"/>
      <c r="E306" s="496"/>
      <c r="F306" s="496"/>
      <c r="I306" s="491"/>
    </row>
    <row r="307" spans="1:9" ht="13.75" customHeight="1">
      <c r="B307" s="486" t="s">
        <v>2631</v>
      </c>
      <c r="D307" s="1309" t="s">
        <v>1219</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2631</v>
      </c>
      <c r="D313" s="1309" t="s">
        <v>1130</v>
      </c>
      <c r="E313" s="1309"/>
      <c r="F313" s="1309"/>
      <c r="I313" s="491"/>
    </row>
    <row r="314" spans="1:9">
      <c r="D314" s="1309"/>
      <c r="E314" s="1309"/>
      <c r="F314" s="1309"/>
      <c r="I314" s="491"/>
    </row>
    <row r="315" spans="1:9">
      <c r="A315" s="485"/>
      <c r="B315" s="485"/>
      <c r="D315" s="495"/>
      <c r="E315" s="496"/>
      <c r="F315" s="496"/>
      <c r="I315" s="491"/>
    </row>
    <row r="316" spans="1:9">
      <c r="B316" s="486" t="s">
        <v>2631</v>
      </c>
      <c r="D316" s="1298" t="s">
        <v>1131</v>
      </c>
      <c r="E316" s="1298"/>
      <c r="F316" s="1298"/>
      <c r="I316" s="491"/>
    </row>
    <row r="317" spans="1:9">
      <c r="E317" s="447"/>
      <c r="F317" s="447"/>
      <c r="I317" s="491"/>
    </row>
    <row r="318" spans="1:9">
      <c r="A318" s="485"/>
      <c r="B318" s="486" t="s">
        <v>2631</v>
      </c>
      <c r="D318" s="1300" t="s">
        <v>2248</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2631</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2631</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2631</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c r="A360" s="485"/>
      <c r="B360" s="486" t="s">
        <v>2631</v>
      </c>
      <c r="C360" s="477"/>
      <c r="D360" s="1317" t="s">
        <v>2058</v>
      </c>
      <c r="E360" s="1317"/>
      <c r="F360" s="1317"/>
      <c r="I360" s="481"/>
    </row>
    <row r="361" spans="1:9">
      <c r="A361" s="477"/>
      <c r="B361" s="477"/>
      <c r="C361" s="477"/>
      <c r="D361" s="448"/>
      <c r="E361" s="448"/>
      <c r="F361" s="447"/>
      <c r="I361" s="491"/>
    </row>
    <row r="362" spans="1:9">
      <c r="A362" s="477"/>
      <c r="B362" s="486" t="s">
        <v>2631</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2631</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2631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2631</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2631</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2631</v>
      </c>
      <c r="D423" s="1271" t="s">
        <v>1882</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2631</v>
      </c>
      <c r="C429" s="477"/>
      <c r="D429" s="1271" t="s">
        <v>1240</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c r="A435" s="485"/>
      <c r="B435" s="486" t="s">
        <v>2631</v>
      </c>
      <c r="C435" s="488"/>
      <c r="D435" s="1300" t="s">
        <v>2060</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2631</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2631</v>
      </c>
      <c r="C471" s="485"/>
      <c r="D471" s="1300" t="s">
        <v>1197</v>
      </c>
      <c r="E471" s="1300"/>
      <c r="F471" s="1300"/>
      <c r="I471" s="491"/>
    </row>
    <row r="472" spans="1:9">
      <c r="D472" s="1300"/>
      <c r="E472" s="1300"/>
      <c r="F472" s="1300"/>
      <c r="I472" s="491"/>
    </row>
    <row r="473" spans="1:9">
      <c r="D473" s="447"/>
      <c r="E473" s="447"/>
      <c r="F473" s="447"/>
      <c r="I473" s="491"/>
    </row>
    <row r="474" spans="1:9">
      <c r="B474" s="486" t="s">
        <v>2631</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2631</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2631</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2631</v>
      </c>
      <c r="C486" s="403"/>
      <c r="D486" s="1300"/>
      <c r="E486" s="1300"/>
      <c r="F486" s="1300"/>
      <c r="I486" s="491"/>
    </row>
    <row r="487" spans="1:9">
      <c r="A487" s="403"/>
      <c r="C487" s="403"/>
      <c r="D487" s="1300"/>
      <c r="E487" s="1300"/>
      <c r="F487" s="1300"/>
      <c r="I487" s="491"/>
    </row>
    <row r="488" spans="1:9">
      <c r="A488" s="403"/>
      <c r="B488" s="486" t="s">
        <v>2631</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2631</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c r="A499" s="485"/>
      <c r="B499" s="485"/>
      <c r="D499" s="1317" t="s">
        <v>1141</v>
      </c>
      <c r="E499" s="1317"/>
      <c r="F499" s="1317"/>
      <c r="I499" s="491"/>
    </row>
    <row r="500" spans="1:9">
      <c r="A500" s="485"/>
      <c r="B500" s="485"/>
      <c r="D500" s="448"/>
      <c r="I500" s="491"/>
    </row>
    <row r="501" spans="1:9">
      <c r="A501" s="485"/>
      <c r="B501" s="486" t="s">
        <v>2631</v>
      </c>
      <c r="D501" s="1271" t="s">
        <v>1142</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2631</v>
      </c>
      <c r="D504" s="1312" t="s">
        <v>1273</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2631</v>
      </c>
      <c r="D509" s="1298" t="s">
        <v>1143</v>
      </c>
      <c r="E509" s="1298"/>
      <c r="F509" s="1298"/>
      <c r="I509" s="491"/>
    </row>
    <row r="510" spans="1:9">
      <c r="A510" s="485"/>
      <c r="B510" s="485"/>
      <c r="D510" s="447"/>
      <c r="I510" s="491"/>
    </row>
    <row r="511" spans="1:9">
      <c r="A511" s="485"/>
      <c r="B511" s="486" t="s">
        <v>2631</v>
      </c>
      <c r="D511" s="1300" t="s">
        <v>1144</v>
      </c>
      <c r="E511" s="1300"/>
      <c r="F511" s="1300"/>
      <c r="I511" s="491"/>
    </row>
    <row r="512" spans="1:9">
      <c r="A512" s="485"/>
      <c r="D512" s="1300"/>
      <c r="E512" s="1300"/>
      <c r="F512" s="1300"/>
      <c r="I512" s="491"/>
    </row>
    <row r="513" spans="1:9">
      <c r="A513" s="491"/>
      <c r="B513" s="491"/>
      <c r="D513" s="448"/>
      <c r="I513" s="491"/>
    </row>
    <row r="514" spans="1:9">
      <c r="A514" s="491"/>
      <c r="B514" s="486" t="s">
        <v>2631</v>
      </c>
      <c r="D514" s="1298" t="s">
        <v>1145</v>
      </c>
      <c r="E514" s="1298"/>
      <c r="F514" s="1298"/>
      <c r="I514" s="491"/>
    </row>
    <row r="515" spans="1:9">
      <c r="D515" s="447"/>
      <c r="E515" s="447"/>
      <c r="F515" s="447"/>
      <c r="I515" s="491"/>
    </row>
    <row r="516" spans="1:9">
      <c r="B516" s="486" t="s">
        <v>2631</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2632</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2632</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2631</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75" customHeight="1">
      <c r="A548" s="485"/>
      <c r="B548" s="486" t="s">
        <v>2632</v>
      </c>
      <c r="C548" s="488"/>
      <c r="D548" s="1298" t="s">
        <v>884</v>
      </c>
      <c r="E548" s="1298"/>
      <c r="F548" s="1298"/>
      <c r="I548" s="491"/>
    </row>
    <row r="549" spans="1:9" ht="13.75" customHeight="1">
      <c r="A549" s="488"/>
      <c r="B549" s="488"/>
      <c r="C549" s="488"/>
      <c r="D549" s="447"/>
      <c r="I549" s="491"/>
    </row>
    <row r="550" spans="1:9">
      <c r="A550" s="485"/>
      <c r="B550" s="486" t="s">
        <v>2632</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2632</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2632</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2632</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2631</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2632</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2632</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c r="A572" s="485"/>
      <c r="B572" s="485"/>
      <c r="C572" s="488"/>
      <c r="E572" s="447"/>
      <c r="F572" s="447"/>
      <c r="I572" s="491"/>
    </row>
    <row r="573" spans="1:9">
      <c r="A573" s="485"/>
      <c r="B573" s="486" t="s">
        <v>2632</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2632</v>
      </c>
      <c r="C578" s="488"/>
      <c r="D578" s="1300" t="s">
        <v>2064</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2632</v>
      </c>
      <c r="D588" s="1312" t="s">
        <v>888</v>
      </c>
      <c r="E588" s="1312"/>
      <c r="F588" s="1312"/>
      <c r="I588" s="491"/>
    </row>
    <row r="589" spans="1:9">
      <c r="A589" s="491"/>
      <c r="B589" s="491"/>
      <c r="D589" s="477"/>
      <c r="I589" s="491"/>
    </row>
    <row r="590" spans="1:9">
      <c r="A590" s="491"/>
      <c r="B590" s="486" t="s">
        <v>2632</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2631</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2632</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2631</v>
      </c>
      <c r="D602" s="1312" t="s">
        <v>1069</v>
      </c>
      <c r="E602" s="1312"/>
      <c r="F602" s="1312"/>
      <c r="I602" s="491"/>
    </row>
    <row r="603" spans="1:9">
      <c r="A603" s="491"/>
      <c r="B603" s="491"/>
      <c r="D603" s="1312"/>
      <c r="E603" s="1312"/>
      <c r="F603" s="1312"/>
      <c r="I603" s="491"/>
    </row>
    <row r="604" spans="1:9">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2632</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2632</v>
      </c>
      <c r="D620" s="1306" t="s">
        <v>1111</v>
      </c>
      <c r="E620" s="1306"/>
      <c r="F620" s="1306"/>
      <c r="I620" s="491"/>
    </row>
    <row r="621" spans="1:9">
      <c r="D621" s="1306"/>
      <c r="E621" s="1306"/>
      <c r="F621" s="1306"/>
      <c r="I621" s="491"/>
    </row>
    <row r="622" spans="1:9">
      <c r="I622" s="491"/>
    </row>
    <row r="623" spans="1:9">
      <c r="B623" s="486" t="s">
        <v>2632</v>
      </c>
      <c r="D623" s="1306" t="s">
        <v>1112</v>
      </c>
      <c r="E623" s="1306"/>
      <c r="F623" s="1306"/>
      <c r="I623" s="491"/>
    </row>
    <row r="624" spans="1:9">
      <c r="C624" s="501"/>
      <c r="D624" s="1306"/>
      <c r="E624" s="1306"/>
      <c r="F624" s="1306"/>
      <c r="I624" s="491"/>
    </row>
    <row r="625" spans="1:9">
      <c r="C625" s="501"/>
      <c r="I625" s="491"/>
    </row>
    <row r="626" spans="1:9">
      <c r="B626" s="486" t="s">
        <v>2631</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2632</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2631</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2631</v>
      </c>
      <c r="C643" s="488"/>
      <c r="D643" s="1300" t="s">
        <v>1225</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2631</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2631</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2631</v>
      </c>
      <c r="C658" s="488"/>
      <c r="D658" s="1300" t="s">
        <v>1283</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2631</v>
      </c>
      <c r="C664" s="488"/>
      <c r="D664" s="1300" t="s">
        <v>1282</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2631</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c r="A685" s="485"/>
      <c r="B685" s="486" t="s">
        <v>2632</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2631</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2632</v>
      </c>
      <c r="C694" s="484"/>
      <c r="D694" s="1298" t="s">
        <v>917</v>
      </c>
      <c r="E694" s="1298"/>
      <c r="F694" s="1298"/>
      <c r="H694" s="502"/>
      <c r="I694" s="484"/>
      <c r="J694" s="502"/>
      <c r="K694" s="502"/>
    </row>
    <row r="695" spans="1:11">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2631</v>
      </c>
      <c r="C698" s="484"/>
      <c r="D698" s="1298" t="s">
        <v>2472</v>
      </c>
      <c r="E698" s="1298"/>
      <c r="F698" s="1298"/>
      <c r="H698" s="502"/>
      <c r="I698" s="484"/>
      <c r="J698" s="502"/>
      <c r="K698" s="502"/>
    </row>
    <row r="699" spans="1:11">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2632</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2632</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2631</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2631</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2631</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2631</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2631</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2632</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c r="A758" s="485"/>
      <c r="B758" s="486" t="s">
        <v>2632</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2632</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2631</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2631</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2631</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2632</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2631</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2631</v>
      </c>
      <c r="C794" s="990"/>
      <c r="D794" s="1293" t="s">
        <v>1758</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2631</v>
      </c>
      <c r="C798" s="990"/>
      <c r="D798" s="1293" t="s">
        <v>1759</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1802</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2631</v>
      </c>
      <c r="C808" s="990"/>
      <c r="D808" s="1293" t="s">
        <v>1760</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2631</v>
      </c>
      <c r="C815" s="990"/>
      <c r="D815" s="1293" t="s">
        <v>1761</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2631</v>
      </c>
      <c r="C822" s="990"/>
      <c r="D822" s="1288" t="s">
        <v>1762</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2632</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2632</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2631</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2631</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2631</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2632</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2632</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2631</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2631</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2631</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2632</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2632</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2632</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2631</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2631</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2631</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2631</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2632</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2632</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2631</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2631</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2631</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2631</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2632</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2632</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2631</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2631</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2631</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2631</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2632</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2632</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2631</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2631</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2631</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2631</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2632</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307</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2631</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2631</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2632</v>
      </c>
      <c r="C1062" s="403"/>
      <c r="D1062" s="403" t="s">
        <v>1812</v>
      </c>
      <c r="I1062" s="491"/>
    </row>
    <row r="1063" spans="1:9">
      <c r="A1063" s="403"/>
      <c r="B1063" s="403"/>
      <c r="C1063" s="403"/>
      <c r="I1063" s="491"/>
    </row>
    <row r="1064" spans="1:9">
      <c r="A1064" s="403"/>
      <c r="B1064" s="486" t="s">
        <v>2631</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2632</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2632</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2631</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2631</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2631</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2631</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2631</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2631</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2631</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2632</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2631</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20" zoomScaleNormal="12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2598</v>
      </c>
      <c r="BE3" t="str">
        <f>AC220</f>
        <v>Northern (Butte, El Dorado, Placer, Sacramento, San Joaquin, Shasta, Solano, Sutter, Yuba, and Yolo Counties)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14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2513</v>
      </c>
      <c r="BE8" s="1253">
        <f>SUMIF($AC$718:$AC$752,"&lt;=35%",$G$718:G$752)-SUM($BE$5:BE7)</f>
        <v>0</v>
      </c>
    </row>
    <row r="9" spans="1:58" ht="13"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2505</v>
      </c>
      <c r="BE9" s="1253">
        <f>SUMIF($AC$718:$AC$752,"&lt;=40%",$G$718:G$752)-SUM($BE$5:BE8)</f>
        <v>35</v>
      </c>
    </row>
    <row r="10" spans="1:58" ht="13"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3">
        <f>SUMIF($AC$718:$AC$752,"&lt;=45%",$G$718:G$752)-SUM($BE$5:BE9)</f>
        <v>0</v>
      </c>
    </row>
    <row r="11" spans="1:58" ht="13" customHeight="1">
      <c r="A11" s="1373" t="s">
        <v>2608</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2506</v>
      </c>
      <c r="BE11" s="1253">
        <f>SUMIF($AC$718:$AC$752,"&lt;=50%",$G$718:G$752)-SUM($BE$5:BE10)</f>
        <v>14</v>
      </c>
    </row>
    <row r="12" spans="1:58" ht="13"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3">
        <f>SUMIF($AC$718:$AC$752,"&lt;=55%",$G$718:G$752)-SUM($BE$5:BE11)</f>
        <v>0</v>
      </c>
    </row>
    <row r="13" spans="1:58" ht="13"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0</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656</v>
      </c>
      <c r="BE16" s="1253" t="str">
        <f>Application!H18</f>
        <v>Greenfield Family Apartments</v>
      </c>
    </row>
    <row r="17" spans="1:58" ht="13" customHeight="1">
      <c r="BD17" s="1251" t="s">
        <v>2522</v>
      </c>
      <c r="BE17" s="1253">
        <f>Application!AA934</f>
        <v>0</v>
      </c>
    </row>
    <row r="18" spans="1:58" ht="13" customHeight="1">
      <c r="A18" s="57" t="s">
        <v>101</v>
      </c>
      <c r="C18" s="4"/>
      <c r="D18" s="4"/>
      <c r="E18" s="4"/>
      <c r="F18" s="4"/>
      <c r="G18" s="4"/>
      <c r="H18" s="1371" t="s">
        <v>2610</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2523</v>
      </c>
      <c r="BE18" s="1253">
        <f>'CalHFA Addendum'!N11</f>
        <v>0</v>
      </c>
    </row>
    <row r="19" spans="1:58" ht="13" customHeight="1">
      <c r="BD19" s="1251" t="s">
        <v>2524</v>
      </c>
      <c r="BE19" s="1253">
        <f>Application!M26</f>
        <v>1531497</v>
      </c>
    </row>
    <row r="20" spans="1:58" ht="13"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2525</v>
      </c>
      <c r="BE20" s="1253">
        <f>Application!M27</f>
        <v>0</v>
      </c>
    </row>
    <row r="21" spans="1:58" ht="13"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2526</v>
      </c>
      <c r="BE21" s="1253">
        <f>Application!AM554</f>
        <v>21436286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42947189</v>
      </c>
      <c r="BF22" s="3" t="s">
        <v>2599</v>
      </c>
    </row>
    <row r="23" spans="1:58" ht="13"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1995000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75901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 customHeight="1">
      <c r="A26" s="4"/>
      <c r="C26" s="4"/>
      <c r="D26" s="4"/>
      <c r="E26" s="4"/>
      <c r="F26" s="4"/>
      <c r="G26" s="4"/>
      <c r="H26" s="4"/>
      <c r="I26" s="4"/>
      <c r="J26" s="4"/>
      <c r="K26" s="4"/>
      <c r="L26" s="4"/>
      <c r="M26" s="1418">
        <f>'Basis &amp; Credits'!AB56</f>
        <v>1531497</v>
      </c>
      <c r="N26" s="1418"/>
      <c r="O26" s="1418"/>
      <c r="P26" s="1418"/>
      <c r="Q26" s="1418"/>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51" t="s">
        <v>2100</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2531</v>
      </c>
      <c r="BE29" s="1253"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2532</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31" t="s">
        <v>669</v>
      </c>
      <c r="P33" s="1331"/>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2600</v>
      </c>
      <c r="BE33" s="1253" t="str">
        <f>Application!D220</f>
        <v>Northern Region: Butte, Marin, Napa, Shasta, Solano, and Sonoma Counties</v>
      </c>
    </row>
    <row r="34" spans="1:57" ht="13"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2534</v>
      </c>
      <c r="BE34" s="1253" t="str">
        <f>Application!I185</f>
        <v>South Corner of Greenfield Drive and Esplanade</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2535</v>
      </c>
      <c r="BE35" s="1253" t="str">
        <f>IF(Application!E187="","",Application!E187)</f>
        <v>South Corner of Greenfield Drive and Esplanade</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2536</v>
      </c>
      <c r="BE36" s="1253" t="str">
        <f>Application!I189</f>
        <v>Chico</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2537</v>
      </c>
      <c r="BE37" s="1253" t="str">
        <f>Application!T189</f>
        <v>Butte</v>
      </c>
    </row>
    <row r="38" spans="1:57" ht="13" customHeight="1">
      <c r="A38" s="3"/>
      <c r="AZ38" s="20"/>
      <c r="BD38" s="1252" t="s">
        <v>2538</v>
      </c>
      <c r="BE38" s="1253">
        <f>Application!I190</f>
        <v>95973</v>
      </c>
    </row>
    <row r="39" spans="1:57" ht="13"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64</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63</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0.39999999999999991</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0.39997845901153783</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671049.828125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Domus GP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Maurice Ramirez</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Domus Development, LLC</v>
      </c>
    </row>
    <row r="51" spans="1:57" ht="13"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Spectrum GP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Daniel Kim</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Spectrum Affordable Housing Corporation</v>
      </c>
    </row>
    <row r="54" spans="1:57" ht="13"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Domus Development,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9 Cushing,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Maurice Ramirez</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maurice@domusd.com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0.819999934704018</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2597</v>
      </c>
      <c r="BE65" s="1253" t="str">
        <f>Z205</f>
        <v>(select)</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2562</v>
      </c>
      <c r="BE66" s="1253"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1281914</v>
      </c>
    </row>
    <row r="69" spans="1:57" ht="13"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2565</v>
      </c>
      <c r="BE69" s="1253" t="str">
        <f>Application!W700</f>
        <v>California Municipal Finance Authority</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2566</v>
      </c>
      <c r="BE70" s="1253">
        <f>'Points System'!AF821</f>
        <v>120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2568</v>
      </c>
      <c r="BE72" s="1253">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2569</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782" t="s">
        <v>2161</v>
      </c>
      <c r="B75" s="1782"/>
      <c r="C75" s="1782"/>
      <c r="D75" s="1782"/>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20"/>
      <c r="AV75" s="20"/>
      <c r="AW75" s="20"/>
      <c r="AX75" s="20"/>
      <c r="AY75" s="20"/>
      <c r="AZ75" s="20"/>
      <c r="BD75" s="1251" t="s">
        <v>2571</v>
      </c>
      <c r="BE75" s="1253">
        <f>'Points System'!AF808</f>
        <v>10</v>
      </c>
    </row>
    <row r="76" spans="1:57" ht="13" customHeight="1">
      <c r="A76" s="1782"/>
      <c r="B76" s="1782"/>
      <c r="C76" s="1782"/>
      <c r="D76" s="1782"/>
      <c r="E76" s="1782"/>
      <c r="F76" s="1782"/>
      <c r="G76" s="1782"/>
      <c r="H76" s="1782"/>
      <c r="I76" s="1782"/>
      <c r="J76" s="1782"/>
      <c r="K76" s="1782"/>
      <c r="L76" s="1782"/>
      <c r="M76" s="1782"/>
      <c r="N76" s="1782"/>
      <c r="O76" s="1782"/>
      <c r="P76" s="1782"/>
      <c r="Q76" s="1782"/>
      <c r="R76" s="1782"/>
      <c r="S76" s="1782"/>
      <c r="T76" s="1782"/>
      <c r="U76" s="1782"/>
      <c r="V76" s="1782"/>
      <c r="W76" s="1782"/>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20"/>
      <c r="AV76" s="20"/>
      <c r="AW76" s="20"/>
      <c r="AX76" s="20"/>
      <c r="AY76" s="20"/>
      <c r="AZ76" s="17"/>
      <c r="BD76" s="1252" t="s">
        <v>2572</v>
      </c>
      <c r="BE76" s="1253">
        <f>'Points System'!AF811</f>
        <v>10</v>
      </c>
    </row>
    <row r="77" spans="1:57" ht="13" customHeight="1">
      <c r="A77" s="1782"/>
      <c r="B77" s="1782"/>
      <c r="C77" s="1782"/>
      <c r="D77" s="1782"/>
      <c r="E77" s="1782"/>
      <c r="F77" s="1782"/>
      <c r="G77" s="1782"/>
      <c r="H77" s="1782"/>
      <c r="I77" s="1782"/>
      <c r="J77" s="1782"/>
      <c r="K77" s="1782"/>
      <c r="L77" s="1782"/>
      <c r="M77" s="1782"/>
      <c r="N77" s="1782"/>
      <c r="O77" s="1782"/>
      <c r="P77" s="1782"/>
      <c r="Q77" s="1782"/>
      <c r="R77" s="1782"/>
      <c r="S77" s="1782"/>
      <c r="T77" s="1782"/>
      <c r="U77" s="1782"/>
      <c r="V77" s="1782"/>
      <c r="W77" s="1782"/>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2575</v>
      </c>
      <c r="BE79" s="1253">
        <f>'Points System'!AF815</f>
        <v>10</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2576</v>
      </c>
      <c r="BE80" s="1253">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0.88652396096827024</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Chico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Ms. MaryJo Alonzo</v>
      </c>
    </row>
    <row r="86" spans="1:57" ht="13"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 / Housing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411 Main St., P.O. Box 3420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Chico</v>
      </c>
    </row>
    <row r="89" spans="1:57" ht="13" customHeight="1">
      <c r="A89" s="1781" t="s">
        <v>2165</v>
      </c>
      <c r="B89" s="1781"/>
      <c r="C89" s="1781"/>
      <c r="D89" s="1781"/>
      <c r="E89" s="1781"/>
      <c r="F89" s="1781"/>
      <c r="G89" s="1781"/>
      <c r="H89" s="1781"/>
      <c r="I89" s="1781"/>
      <c r="J89" s="1781"/>
      <c r="K89" s="1781"/>
      <c r="L89" s="1781"/>
      <c r="M89" s="1781"/>
      <c r="N89" s="1781"/>
      <c r="O89" s="1781"/>
      <c r="P89" s="1781"/>
      <c r="Q89" s="1781"/>
      <c r="R89" s="1781"/>
      <c r="S89" s="1781"/>
      <c r="T89" s="1781"/>
      <c r="U89" s="1781"/>
      <c r="V89" s="1781"/>
      <c r="W89" s="1781"/>
      <c r="X89" s="1781"/>
      <c r="Y89" s="1781"/>
      <c r="Z89" s="1781"/>
      <c r="AA89" s="1781"/>
      <c r="AB89" s="1781"/>
      <c r="AC89" s="1781"/>
      <c r="AD89" s="1781"/>
      <c r="AE89" s="1781"/>
      <c r="AF89" s="1781"/>
      <c r="AG89" s="1781"/>
      <c r="AH89" s="1781"/>
      <c r="AI89" s="1781"/>
      <c r="AJ89" s="1781"/>
      <c r="AK89" s="1781"/>
      <c r="AL89" s="1781"/>
      <c r="AM89" s="1781"/>
      <c r="AN89" s="1781"/>
      <c r="AO89" s="1781"/>
      <c r="AP89" s="1781"/>
      <c r="AQ89" s="1781"/>
      <c r="AR89" s="1781"/>
      <c r="AS89" s="1781"/>
      <c r="AT89" s="1781"/>
      <c r="AU89" s="17"/>
      <c r="AV89" s="17"/>
      <c r="AW89" s="17"/>
      <c r="AX89" s="17"/>
      <c r="AY89" s="17"/>
      <c r="AZ89" s="20"/>
      <c r="BD89" s="1251" t="s">
        <v>2585</v>
      </c>
      <c r="BE89" s="1253">
        <f>Application!O158</f>
        <v>95928</v>
      </c>
    </row>
    <row r="90" spans="1:57" ht="13" customHeight="1">
      <c r="A90" s="1781"/>
      <c r="B90" s="1781"/>
      <c r="C90" s="1781"/>
      <c r="D90" s="1781"/>
      <c r="E90" s="1781"/>
      <c r="F90" s="1781"/>
      <c r="G90" s="1781"/>
      <c r="H90" s="1781"/>
      <c r="I90" s="1781"/>
      <c r="J90" s="1781"/>
      <c r="K90" s="1781"/>
      <c r="L90" s="1781"/>
      <c r="M90" s="1781"/>
      <c r="N90" s="1781"/>
      <c r="O90" s="1781"/>
      <c r="P90" s="1781"/>
      <c r="Q90" s="1781"/>
      <c r="R90" s="1781"/>
      <c r="S90" s="1781"/>
      <c r="T90" s="1781"/>
      <c r="U90" s="1781"/>
      <c r="V90" s="1781"/>
      <c r="W90" s="1781"/>
      <c r="X90" s="1781"/>
      <c r="Y90" s="1781"/>
      <c r="Z90" s="1781"/>
      <c r="AA90" s="1781"/>
      <c r="AB90" s="1781"/>
      <c r="AC90" s="1781"/>
      <c r="AD90" s="1781"/>
      <c r="AE90" s="1781"/>
      <c r="AF90" s="1781"/>
      <c r="AG90" s="1781"/>
      <c r="AH90" s="1781"/>
      <c r="AI90" s="1781"/>
      <c r="AJ90" s="1781"/>
      <c r="AK90" s="1781"/>
      <c r="AL90" s="1781"/>
      <c r="AM90" s="1781"/>
      <c r="AN90" s="1781"/>
      <c r="AO90" s="1781"/>
      <c r="AP90" s="1781"/>
      <c r="AQ90" s="1781"/>
      <c r="AR90" s="1781"/>
      <c r="AS90" s="1781"/>
      <c r="AT90" s="1781"/>
      <c r="AU90" s="17"/>
      <c r="AV90" s="17"/>
      <c r="AW90" s="17"/>
      <c r="AX90" s="17"/>
      <c r="AY90" s="17"/>
      <c r="AZ90" s="20"/>
      <c r="BD90" s="1252" t="s">
        <v>2586</v>
      </c>
      <c r="BE90" s="1253" t="str">
        <f>Application!H16</f>
        <v>Greenfield Apartments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9 Cushing, Suite 200</v>
      </c>
    </row>
    <row r="92" spans="1:57" ht="13" customHeight="1">
      <c r="A92" s="1782" t="s">
        <v>2166</v>
      </c>
      <c r="B92" s="1782"/>
      <c r="C92" s="1782"/>
      <c r="D92" s="1782"/>
      <c r="E92" s="1782"/>
      <c r="F92" s="1782"/>
      <c r="G92" s="1782"/>
      <c r="H92" s="1782"/>
      <c r="I92" s="1782"/>
      <c r="J92" s="1782"/>
      <c r="K92" s="1782"/>
      <c r="L92" s="1782"/>
      <c r="M92" s="1782"/>
      <c r="N92" s="1782"/>
      <c r="O92" s="1782"/>
      <c r="P92" s="1782"/>
      <c r="Q92" s="1782"/>
      <c r="R92" s="1782"/>
      <c r="S92" s="1782"/>
      <c r="T92" s="1782"/>
      <c r="U92" s="1782"/>
      <c r="V92" s="1782"/>
      <c r="W92" s="1782"/>
      <c r="X92" s="1782"/>
      <c r="Y92" s="1782"/>
      <c r="Z92" s="1782"/>
      <c r="AA92" s="1782"/>
      <c r="AB92" s="1782"/>
      <c r="AC92" s="1782"/>
      <c r="AD92" s="1782"/>
      <c r="AE92" s="1782"/>
      <c r="AF92" s="1782"/>
      <c r="AG92" s="1782"/>
      <c r="AH92" s="1782"/>
      <c r="AI92" s="1782"/>
      <c r="AJ92" s="1782"/>
      <c r="AK92" s="1782"/>
      <c r="AL92" s="1782"/>
      <c r="AM92" s="1782"/>
      <c r="AN92" s="1782"/>
      <c r="AO92" s="1782"/>
      <c r="AP92" s="1782"/>
      <c r="AQ92" s="1782"/>
      <c r="AR92" s="1782"/>
      <c r="AS92" s="1782"/>
      <c r="AT92" s="1782"/>
      <c r="AU92" s="20"/>
      <c r="AV92" s="20"/>
      <c r="AW92" s="20"/>
      <c r="AX92" s="20"/>
      <c r="AY92" s="20"/>
      <c r="AZ92" s="20"/>
      <c r="BD92" s="1252" t="s">
        <v>2588</v>
      </c>
      <c r="BE92" s="1253" t="str">
        <f>Application!M234</f>
        <v>Irvine</v>
      </c>
    </row>
    <row r="93" spans="1:57" ht="13" customHeight="1">
      <c r="A93" s="1782"/>
      <c r="B93" s="1782"/>
      <c r="C93" s="1782"/>
      <c r="D93" s="1782"/>
      <c r="E93" s="1782"/>
      <c r="F93" s="1782"/>
      <c r="G93" s="1782"/>
      <c r="H93" s="1782"/>
      <c r="I93" s="1782"/>
      <c r="J93" s="1782"/>
      <c r="K93" s="1782"/>
      <c r="L93" s="1782"/>
      <c r="M93" s="1782"/>
      <c r="N93" s="1782"/>
      <c r="O93" s="1782"/>
      <c r="P93" s="1782"/>
      <c r="Q93" s="1782"/>
      <c r="R93" s="1782"/>
      <c r="S93" s="1782"/>
      <c r="T93" s="1782"/>
      <c r="U93" s="1782"/>
      <c r="V93" s="1782"/>
      <c r="W93" s="1782"/>
      <c r="X93" s="1782"/>
      <c r="Y93" s="1782"/>
      <c r="Z93" s="1782"/>
      <c r="AA93" s="1782"/>
      <c r="AB93" s="1782"/>
      <c r="AC93" s="1782"/>
      <c r="AD93" s="1782"/>
      <c r="AE93" s="1782"/>
      <c r="AF93" s="1782"/>
      <c r="AG93" s="1782"/>
      <c r="AH93" s="1782"/>
      <c r="AI93" s="1782"/>
      <c r="AJ93" s="1782"/>
      <c r="AK93" s="1782"/>
      <c r="AL93" s="1782"/>
      <c r="AM93" s="1782"/>
      <c r="AN93" s="1782"/>
      <c r="AO93" s="1782"/>
      <c r="AP93" s="1782"/>
      <c r="AQ93" s="1782"/>
      <c r="AR93" s="1782"/>
      <c r="AS93" s="1782"/>
      <c r="AT93" s="1782"/>
      <c r="AU93" s="20"/>
      <c r="AV93" s="20"/>
      <c r="AW93" s="20"/>
      <c r="AX93" s="20"/>
      <c r="AY93" s="20"/>
      <c r="AZ93" s="20"/>
      <c r="BD93" s="1251" t="s">
        <v>2589</v>
      </c>
      <c r="BE93" s="1253" t="str">
        <f>Application!W234</f>
        <v>CA</v>
      </c>
    </row>
    <row r="94" spans="1:57" ht="13" customHeight="1">
      <c r="A94" s="1782"/>
      <c r="B94" s="1782"/>
      <c r="C94" s="1782"/>
      <c r="D94" s="1782"/>
      <c r="E94" s="1782"/>
      <c r="F94" s="1782"/>
      <c r="G94" s="1782"/>
      <c r="H94" s="1782"/>
      <c r="I94" s="1782"/>
      <c r="J94" s="1782"/>
      <c r="K94" s="1782"/>
      <c r="L94" s="1782"/>
      <c r="M94" s="1782"/>
      <c r="N94" s="1782"/>
      <c r="O94" s="1782"/>
      <c r="P94" s="1782"/>
      <c r="Q94" s="1782"/>
      <c r="R94" s="1782"/>
      <c r="S94" s="1782"/>
      <c r="T94" s="1782"/>
      <c r="U94" s="1782"/>
      <c r="V94" s="1782"/>
      <c r="W94" s="1782"/>
      <c r="X94" s="1782"/>
      <c r="Y94" s="1782"/>
      <c r="Z94" s="1782"/>
      <c r="AA94" s="1782"/>
      <c r="AB94" s="1782"/>
      <c r="AC94" s="1782"/>
      <c r="AD94" s="1782"/>
      <c r="AE94" s="1782"/>
      <c r="AF94" s="1782"/>
      <c r="AG94" s="1782"/>
      <c r="AH94" s="1782"/>
      <c r="AI94" s="1782"/>
      <c r="AJ94" s="1782"/>
      <c r="AK94" s="1782"/>
      <c r="AL94" s="1782"/>
      <c r="AM94" s="1782"/>
      <c r="AN94" s="1782"/>
      <c r="AO94" s="1782"/>
      <c r="AP94" s="1782"/>
      <c r="AQ94" s="1782"/>
      <c r="AR94" s="1782"/>
      <c r="AS94" s="1782"/>
      <c r="AT94" s="1782"/>
      <c r="AU94" s="20"/>
      <c r="AV94" s="20"/>
      <c r="AW94" s="20"/>
      <c r="AX94" s="20"/>
      <c r="AY94" s="20"/>
      <c r="AZ94" s="20"/>
      <c r="BD94" s="1252" t="s">
        <v>2590</v>
      </c>
      <c r="BE94" s="1253">
        <f>Application!AC234</f>
        <v>92618</v>
      </c>
    </row>
    <row r="95" spans="1:57" ht="13" customHeight="1">
      <c r="A95" s="1782"/>
      <c r="B95" s="1782"/>
      <c r="C95" s="1782"/>
      <c r="D95" s="1782"/>
      <c r="E95" s="1782"/>
      <c r="F95" s="1782"/>
      <c r="G95" s="1782"/>
      <c r="H95" s="1782"/>
      <c r="I95" s="1782"/>
      <c r="J95" s="1782"/>
      <c r="K95" s="1782"/>
      <c r="L95" s="1782"/>
      <c r="M95" s="1782"/>
      <c r="N95" s="1782"/>
      <c r="O95" s="1782"/>
      <c r="P95" s="1782"/>
      <c r="Q95" s="1782"/>
      <c r="R95" s="1782"/>
      <c r="S95" s="1782"/>
      <c r="T95" s="1782"/>
      <c r="U95" s="1782"/>
      <c r="V95" s="1782"/>
      <c r="W95" s="1782"/>
      <c r="X95" s="1782"/>
      <c r="Y95" s="1782"/>
      <c r="Z95" s="1782"/>
      <c r="AA95" s="1782"/>
      <c r="AB95" s="1782"/>
      <c r="AC95" s="1782"/>
      <c r="AD95" s="1782"/>
      <c r="AE95" s="1782"/>
      <c r="AF95" s="1782"/>
      <c r="AG95" s="1782"/>
      <c r="AH95" s="1782"/>
      <c r="AI95" s="1782"/>
      <c r="AJ95" s="1782"/>
      <c r="AK95" s="1782"/>
      <c r="AL95" s="1782"/>
      <c r="AM95" s="1782"/>
      <c r="AN95" s="1782"/>
      <c r="AO95" s="1782"/>
      <c r="AP95" s="1782"/>
      <c r="AQ95" s="1782"/>
      <c r="AR95" s="1782"/>
      <c r="AS95" s="1782"/>
      <c r="AT95" s="1782"/>
      <c r="AU95" s="20"/>
      <c r="AV95" s="20"/>
      <c r="AW95" s="20"/>
      <c r="AX95" s="20"/>
      <c r="AY95" s="20"/>
      <c r="AZ95" s="20"/>
      <c r="BD95" s="1251" t="s">
        <v>2591</v>
      </c>
      <c r="BE95" s="1253" t="str">
        <f>Application!M235</f>
        <v>Michael Limb</v>
      </c>
    </row>
    <row r="96" spans="1:57" ht="13" customHeight="1">
      <c r="A96" s="1782"/>
      <c r="B96" s="1782"/>
      <c r="C96" s="1782"/>
      <c r="D96" s="1782"/>
      <c r="E96" s="1782"/>
      <c r="F96" s="1782"/>
      <c r="G96" s="1782"/>
      <c r="H96" s="1782"/>
      <c r="I96" s="1782"/>
      <c r="J96" s="1782"/>
      <c r="K96" s="1782"/>
      <c r="L96" s="1782"/>
      <c r="M96" s="1782"/>
      <c r="N96" s="1782"/>
      <c r="O96" s="1782"/>
      <c r="P96" s="1782"/>
      <c r="Q96" s="1782"/>
      <c r="R96" s="1782"/>
      <c r="S96" s="1782"/>
      <c r="T96" s="1782"/>
      <c r="U96" s="1782"/>
      <c r="V96" s="1782"/>
      <c r="W96" s="1782"/>
      <c r="X96" s="1782"/>
      <c r="Y96" s="1782"/>
      <c r="Z96" s="1782"/>
      <c r="AA96" s="1782"/>
      <c r="AB96" s="1782"/>
      <c r="AC96" s="1782"/>
      <c r="AD96" s="1782"/>
      <c r="AE96" s="1782"/>
      <c r="AF96" s="1782"/>
      <c r="AG96" s="1782"/>
      <c r="AH96" s="1782"/>
      <c r="AI96" s="1782"/>
      <c r="AJ96" s="1782"/>
      <c r="AK96" s="1782"/>
      <c r="AL96" s="1782"/>
      <c r="AM96" s="1782"/>
      <c r="AN96" s="1782"/>
      <c r="AO96" s="1782"/>
      <c r="AP96" s="1782"/>
      <c r="AQ96" s="1782"/>
      <c r="AR96" s="1782"/>
      <c r="AS96" s="1782"/>
      <c r="AT96" s="1782"/>
      <c r="AU96" s="20"/>
      <c r="AV96" s="20"/>
      <c r="AW96" s="20"/>
      <c r="AX96" s="20"/>
      <c r="AY96" s="20"/>
      <c r="AZ96" s="20"/>
      <c r="BD96" s="1252" t="s">
        <v>2592</v>
      </c>
      <c r="BE96" s="1253" t="str">
        <f>Application!M237</f>
        <v>mlimb@newportpartners.com</v>
      </c>
    </row>
    <row r="97" spans="1:57" ht="13" customHeight="1">
      <c r="A97" s="1782"/>
      <c r="B97" s="1782"/>
      <c r="C97" s="1782"/>
      <c r="D97" s="1782"/>
      <c r="E97" s="1782"/>
      <c r="F97" s="1782"/>
      <c r="G97" s="1782"/>
      <c r="H97" s="1782"/>
      <c r="I97" s="1782"/>
      <c r="J97" s="1782"/>
      <c r="K97" s="1782"/>
      <c r="L97" s="1782"/>
      <c r="M97" s="1782"/>
      <c r="N97" s="1782"/>
      <c r="O97" s="1782"/>
      <c r="P97" s="1782"/>
      <c r="Q97" s="1782"/>
      <c r="R97" s="1782"/>
      <c r="S97" s="1782"/>
      <c r="T97" s="1782"/>
      <c r="U97" s="1782"/>
      <c r="V97" s="1782"/>
      <c r="W97" s="1782"/>
      <c r="X97" s="1782"/>
      <c r="Y97" s="1782"/>
      <c r="Z97" s="1782"/>
      <c r="AA97" s="1782"/>
      <c r="AB97" s="1782"/>
      <c r="AC97" s="1782"/>
      <c r="AD97" s="1782"/>
      <c r="AE97" s="1782"/>
      <c r="AF97" s="1782"/>
      <c r="AG97" s="1782"/>
      <c r="AH97" s="1782"/>
      <c r="AI97" s="1782"/>
      <c r="AJ97" s="1782"/>
      <c r="AK97" s="1782"/>
      <c r="AL97" s="1782"/>
      <c r="AM97" s="1782"/>
      <c r="AN97" s="1782"/>
      <c r="AO97" s="1782"/>
      <c r="AP97" s="1782"/>
      <c r="AQ97" s="1782"/>
      <c r="AR97" s="1782"/>
      <c r="AS97" s="1782"/>
      <c r="AT97" s="1782"/>
      <c r="AU97" s="20"/>
      <c r="AV97" s="20"/>
      <c r="AW97" s="20"/>
      <c r="AX97" s="20"/>
      <c r="AY97" s="20"/>
      <c r="AZ97" s="20"/>
      <c r="BD97" s="1251" t="s">
        <v>2593</v>
      </c>
      <c r="BE97" s="1253" t="str">
        <f>Application!M248</f>
        <v>maurice@domusd.com</v>
      </c>
    </row>
    <row r="98" spans="1:57" ht="13" customHeight="1">
      <c r="A98" s="1782"/>
      <c r="B98" s="1782"/>
      <c r="C98" s="1782"/>
      <c r="D98" s="1782"/>
      <c r="E98" s="1782"/>
      <c r="F98" s="1782"/>
      <c r="G98" s="1782"/>
      <c r="H98" s="1782"/>
      <c r="I98" s="1782"/>
      <c r="J98" s="1782"/>
      <c r="K98" s="1782"/>
      <c r="L98" s="1782"/>
      <c r="M98" s="1782"/>
      <c r="N98" s="1782"/>
      <c r="O98" s="1782"/>
      <c r="P98" s="1782"/>
      <c r="Q98" s="1782"/>
      <c r="R98" s="1782"/>
      <c r="S98" s="1782"/>
      <c r="T98" s="1782"/>
      <c r="U98" s="1782"/>
      <c r="V98" s="1782"/>
      <c r="W98" s="1782"/>
      <c r="X98" s="1782"/>
      <c r="Y98" s="1782"/>
      <c r="Z98" s="1782"/>
      <c r="AA98" s="1782"/>
      <c r="AB98" s="1782"/>
      <c r="AC98" s="1782"/>
      <c r="AD98" s="1782"/>
      <c r="AE98" s="1782"/>
      <c r="AF98" s="1782"/>
      <c r="AG98" s="1782"/>
      <c r="AH98" s="1782"/>
      <c r="AI98" s="1782"/>
      <c r="AJ98" s="1782"/>
      <c r="AK98" s="1782"/>
      <c r="AL98" s="1782"/>
      <c r="AM98" s="1782"/>
      <c r="AN98" s="1782"/>
      <c r="AO98" s="1782"/>
      <c r="AP98" s="1782"/>
      <c r="AQ98" s="1782"/>
      <c r="AR98" s="1782"/>
      <c r="AS98" s="1782"/>
      <c r="AT98" s="1782"/>
      <c r="AU98" s="20"/>
      <c r="AV98" s="20"/>
      <c r="AW98" s="20"/>
      <c r="AX98" s="20"/>
      <c r="AY98" s="20"/>
      <c r="AZ98" s="20"/>
      <c r="BD98" s="1252" t="s">
        <v>2594</v>
      </c>
      <c r="BE98" s="1253" t="str">
        <f>Application!M256</f>
        <v>daniel.kim@spectrumahc.org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783" t="s">
        <v>2167</v>
      </c>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3"/>
      <c r="AM100" s="1783"/>
      <c r="AN100" s="1783"/>
      <c r="AO100" s="1783"/>
      <c r="AP100" s="1783"/>
      <c r="AQ100" s="1783"/>
      <c r="AR100" s="1783"/>
      <c r="AS100" s="1783"/>
      <c r="AT100" s="1783"/>
      <c r="AU100" s="20"/>
      <c r="AV100" s="20"/>
      <c r="AW100" s="20"/>
      <c r="AX100" s="20"/>
      <c r="AY100" s="20"/>
      <c r="AZ100" s="20"/>
      <c r="BD100" s="1252" t="s">
        <v>2596</v>
      </c>
      <c r="BE100" s="1253" t="str">
        <f>Application!L279</f>
        <v>maurice@domusd.com</v>
      </c>
    </row>
    <row r="101" spans="1:57" ht="13" customHeight="1">
      <c r="A101" s="1783"/>
      <c r="B101" s="1783"/>
      <c r="C101" s="1783"/>
      <c r="D101" s="1783"/>
      <c r="E101" s="1783"/>
      <c r="F101" s="1783"/>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c r="AD101" s="1783"/>
      <c r="AE101" s="1783"/>
      <c r="AF101" s="1783"/>
      <c r="AG101" s="1783"/>
      <c r="AH101" s="1783"/>
      <c r="AI101" s="1783"/>
      <c r="AJ101" s="1783"/>
      <c r="AK101" s="1783"/>
      <c r="AL101" s="1783"/>
      <c r="AM101" s="1783"/>
      <c r="AN101" s="1783"/>
      <c r="AO101" s="1783"/>
      <c r="AP101" s="1783"/>
      <c r="AQ101" s="1783"/>
      <c r="AR101" s="1783"/>
      <c r="AS101" s="1783"/>
      <c r="AT101" s="1783"/>
      <c r="AU101" s="20"/>
      <c r="AV101" s="20"/>
      <c r="AW101" s="20"/>
      <c r="AX101" s="20"/>
      <c r="AY101" s="20"/>
      <c r="AZ101" s="20"/>
      <c r="BD101" s="3" t="s">
        <v>2601</v>
      </c>
      <c r="BE101">
        <f>'Sources and Uses Budget'!C105</f>
        <v>41665275</v>
      </c>
    </row>
    <row r="102" spans="1:57" ht="13" customHeight="1">
      <c r="A102" s="1783"/>
      <c r="B102" s="1783"/>
      <c r="C102" s="1783"/>
      <c r="D102" s="1783"/>
      <c r="E102" s="1783"/>
      <c r="F102" s="1783"/>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c r="AD102" s="1783"/>
      <c r="AE102" s="1783"/>
      <c r="AF102" s="1783"/>
      <c r="AG102" s="1783"/>
      <c r="AH102" s="1783"/>
      <c r="AI102" s="1783"/>
      <c r="AJ102" s="1783"/>
      <c r="AK102" s="1783"/>
      <c r="AL102" s="1783"/>
      <c r="AM102" s="1783"/>
      <c r="AN102" s="1783"/>
      <c r="AO102" s="1783"/>
      <c r="AP102" s="1783"/>
      <c r="AQ102" s="1783"/>
      <c r="AR102" s="1783"/>
      <c r="AS102" s="1783"/>
      <c r="AT102" s="1783"/>
      <c r="AU102" s="20"/>
      <c r="AV102" s="20"/>
      <c r="AW102" s="20"/>
      <c r="AX102" s="20"/>
      <c r="AY102" s="20"/>
      <c r="AZ102" s="20"/>
      <c r="BD102" s="3" t="s">
        <v>2602</v>
      </c>
      <c r="BE102" t="b">
        <f>T197="Yes"</f>
        <v>0</v>
      </c>
    </row>
    <row r="103" spans="1:57" ht="13" customHeight="1">
      <c r="A103" s="1783"/>
      <c r="B103" s="1783"/>
      <c r="C103" s="1783"/>
      <c r="D103" s="1783"/>
      <c r="E103" s="1783"/>
      <c r="F103" s="1783"/>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3" t="s">
        <v>2168</v>
      </c>
      <c r="B105" s="1783"/>
      <c r="C105" s="1783"/>
      <c r="D105" s="1783"/>
      <c r="E105" s="1783"/>
      <c r="F105" s="1783"/>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c r="AD105" s="1783"/>
      <c r="AE105" s="1783"/>
      <c r="AF105" s="1783"/>
      <c r="AG105" s="1783"/>
      <c r="AH105" s="1783"/>
      <c r="AI105" s="1783"/>
      <c r="AJ105" s="1783"/>
      <c r="AK105" s="1783"/>
      <c r="AL105" s="1783"/>
      <c r="AM105" s="1783"/>
      <c r="AN105" s="1783"/>
      <c r="AO105" s="1783"/>
      <c r="AP105" s="1783"/>
      <c r="AQ105" s="1783"/>
      <c r="AR105" s="1783"/>
      <c r="AS105" s="1783"/>
      <c r="AT105" s="1783"/>
      <c r="AU105" s="20"/>
      <c r="AV105" s="20"/>
      <c r="AW105" s="20"/>
      <c r="AX105" s="20"/>
      <c r="AY105" s="20"/>
    </row>
    <row r="106" spans="1:57" ht="13" customHeight="1">
      <c r="A106" s="1783"/>
      <c r="B106" s="1783"/>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4">
        <v>27</v>
      </c>
      <c r="H113" s="1784"/>
      <c r="I113" s="3" t="s">
        <v>182</v>
      </c>
      <c r="L113" s="1784" t="s">
        <v>2615</v>
      </c>
      <c r="M113" s="1784"/>
      <c r="N113" s="1784"/>
      <c r="O113" s="1784"/>
      <c r="P113" s="1790" t="s">
        <v>2243</v>
      </c>
      <c r="Q113" s="1790"/>
      <c r="R113" s="1790"/>
      <c r="S113" s="17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5" t="s">
        <v>2614</v>
      </c>
      <c r="D115" s="1795"/>
      <c r="E115" s="1795"/>
      <c r="F115" s="1795"/>
      <c r="G115" s="1795"/>
      <c r="H115" s="1795"/>
      <c r="I115" s="1795"/>
      <c r="J115" s="1795"/>
      <c r="K115" s="1795"/>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4"/>
      <c r="Z117" s="1784"/>
      <c r="AA117" s="1784"/>
      <c r="AB117" s="1784"/>
      <c r="AC117" s="1784"/>
      <c r="AD117" s="1784"/>
      <c r="AE117" s="1784"/>
      <c r="AF117" s="1784"/>
      <c r="AG117" s="1784"/>
      <c r="AH117" s="1784"/>
      <c r="AI117" s="1784"/>
      <c r="AJ117" s="1784"/>
      <c r="AK117" s="178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4" t="s">
        <v>2758</v>
      </c>
      <c r="Z120" s="1784"/>
      <c r="AA120" s="1784"/>
      <c r="AB120" s="1784"/>
      <c r="AC120" s="1784"/>
      <c r="AD120" s="1784"/>
      <c r="AE120" s="1784"/>
      <c r="AF120" s="1784"/>
      <c r="AG120" s="1784"/>
      <c r="AH120" s="1784"/>
      <c r="AI120" s="1784"/>
      <c r="AJ120" s="1784"/>
      <c r="AK120" s="178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Butte</v>
      </c>
      <c r="DH122" s="1656"/>
      <c r="DI122" s="1656"/>
      <c r="DJ122" s="1656"/>
      <c r="DK122" s="1656"/>
      <c r="DL122" s="1656"/>
      <c r="DM122" s="1657"/>
    </row>
    <row r="123" spans="1:117" ht="13" customHeight="1">
      <c r="A123" s="3"/>
      <c r="B123" s="3"/>
      <c r="T123" s="3"/>
      <c r="U123" s="3"/>
      <c r="V123" s="3"/>
      <c r="W123" s="3"/>
      <c r="X123" s="3"/>
      <c r="Y123" s="1784" t="s">
        <v>2613</v>
      </c>
      <c r="Z123" s="1784"/>
      <c r="AA123" s="1784"/>
      <c r="AB123" s="1784"/>
      <c r="AC123" s="1784"/>
      <c r="AD123" s="1784"/>
      <c r="AE123" s="1784"/>
      <c r="AF123" s="1784"/>
      <c r="AG123" s="1784"/>
      <c r="AH123" s="1784"/>
      <c r="AI123" s="1784"/>
      <c r="AJ123" s="1784"/>
      <c r="AK123" s="178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371"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440</v>
      </c>
      <c r="O154" s="1459" t="s">
        <v>2773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5" t="s">
        <v>2620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3" customHeight="1">
      <c r="D156" t="s">
        <v>313</v>
      </c>
      <c r="O156" s="1371" t="s">
        <v>2621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71" t="s">
        <v>2617</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87">
        <v>95928</v>
      </c>
      <c r="P158" s="1787"/>
      <c r="Q158" s="1787"/>
      <c r="R158" s="1787"/>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423" t="s">
        <v>2618</v>
      </c>
      <c r="P159" s="1776"/>
      <c r="Q159" s="1776"/>
      <c r="R159" s="1776"/>
      <c r="S159" s="1776"/>
      <c r="T159" s="1776"/>
      <c r="V159" s="97" t="s">
        <v>271</v>
      </c>
      <c r="W159" s="1788"/>
      <c r="X159" s="1788"/>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423" t="s">
        <v>2619</v>
      </c>
      <c r="P160" s="1776"/>
      <c r="Q160" s="1776"/>
      <c r="R160" s="1776"/>
      <c r="S160" s="1776"/>
      <c r="T160" s="1776"/>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318</v>
      </c>
      <c r="O161" s="1780" t="s">
        <v>2774</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796" t="s">
        <v>2218</v>
      </c>
      <c r="E164" s="1796"/>
      <c r="F164" s="1796"/>
      <c r="G164" s="1796"/>
      <c r="H164" s="1796"/>
      <c r="I164" s="1796"/>
      <c r="J164" s="1796"/>
      <c r="K164" s="1796"/>
      <c r="L164" s="1796"/>
      <c r="M164" s="1796"/>
      <c r="N164" s="1796"/>
      <c r="O164" s="1796"/>
      <c r="P164" s="1796"/>
      <c r="Q164" s="1796"/>
      <c r="R164" s="1796"/>
      <c r="S164" s="1796"/>
      <c r="T164" s="1796"/>
      <c r="U164" s="1796"/>
      <c r="V164" s="1796"/>
      <c r="W164" s="1796"/>
      <c r="X164" s="1796"/>
      <c r="Y164" s="1796"/>
      <c r="Z164" s="1796"/>
      <c r="AA164" s="1796"/>
      <c r="AB164" s="1796"/>
      <c r="AC164" s="1796"/>
      <c r="AD164" s="1796"/>
      <c r="AE164" s="1796"/>
      <c r="AF164" s="1796"/>
      <c r="AG164" s="1796"/>
      <c r="AH164" s="1796"/>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321</v>
      </c>
      <c r="J173" s="1804" t="s">
        <v>371</v>
      </c>
      <c r="K173" s="1804"/>
      <c r="L173" s="1804"/>
      <c r="M173" s="1804"/>
      <c r="N173" s="1804"/>
      <c r="O173" s="1804"/>
      <c r="P173" s="1804"/>
      <c r="Q173" s="1804"/>
      <c r="R173" s="1804"/>
      <c r="S173" s="1804"/>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545</v>
      </c>
      <c r="V175" s="1331"/>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426">
        <v>24</v>
      </c>
      <c r="V176" s="1426"/>
      <c r="W176" s="1" t="s">
        <v>306</v>
      </c>
      <c r="X176" s="1779">
        <v>487</v>
      </c>
      <c r="Y176" s="1779"/>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t="s">
        <v>669</v>
      </c>
      <c r="S177" s="1331"/>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778"/>
      <c r="AG178" s="1778"/>
      <c r="AH178" s="1" t="s">
        <v>306</v>
      </c>
      <c r="AI178" s="1801"/>
      <c r="AJ178" s="1801"/>
      <c r="AK178" s="1801"/>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331" t="s">
        <v>669</v>
      </c>
      <c r="Y180" s="1331"/>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578</v>
      </c>
      <c r="I184" s="1358" t="str">
        <f>H18</f>
        <v>Greenfield Family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579</v>
      </c>
      <c r="I185" s="1459" t="s">
        <v>2622</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798" t="s">
        <v>2622</v>
      </c>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580</v>
      </c>
      <c r="I189" s="1371" t="s">
        <v>2617</v>
      </c>
      <c r="J189" s="1372"/>
      <c r="K189" s="1372"/>
      <c r="L189" s="1372"/>
      <c r="M189" s="1372"/>
      <c r="N189" s="1372"/>
      <c r="O189" s="1372"/>
      <c r="P189" s="1372"/>
      <c r="Q189" t="s">
        <v>582</v>
      </c>
      <c r="T189" s="1372" t="s">
        <v>479</v>
      </c>
      <c r="U189" s="1372"/>
      <c r="V189" s="1372"/>
      <c r="W189" s="1372"/>
      <c r="X189" s="1372"/>
      <c r="Y189" s="1372"/>
      <c r="Z189" s="1372"/>
      <c r="AA189" s="1372"/>
      <c r="AB189" s="1372"/>
      <c r="AC189" s="1372"/>
      <c r="AD189" s="1372"/>
      <c r="AE189" s="1372"/>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583</v>
      </c>
      <c r="I190" s="1348">
        <v>95973</v>
      </c>
      <c r="J190" s="1348"/>
      <c r="K190" s="1348"/>
      <c r="L190" s="1348"/>
      <c r="M190" s="1348"/>
      <c r="N190" s="1348"/>
      <c r="O190" t="s">
        <v>585</v>
      </c>
      <c r="T190" s="1785">
        <v>4.0199999999999996</v>
      </c>
      <c r="U190" s="1785"/>
      <c r="V190" s="1785"/>
      <c r="W190" s="1785"/>
      <c r="X190" s="1785"/>
      <c r="Y190" s="1785"/>
      <c r="Z190" s="1785"/>
      <c r="AA190" s="1785"/>
      <c r="AB190" s="1785"/>
      <c r="AC190" s="1785"/>
      <c r="AD190" s="1785"/>
      <c r="AE190" s="1785"/>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462</v>
      </c>
      <c r="N191" s="1798" t="s">
        <v>2623</v>
      </c>
      <c r="O191" s="1799"/>
      <c r="P191" s="1799"/>
      <c r="Q191" s="1799"/>
      <c r="R191" s="1799"/>
      <c r="S191" s="1799"/>
      <c r="T191" s="1799"/>
      <c r="U191" s="1799"/>
      <c r="V191" s="1799"/>
      <c r="W191" s="1799"/>
      <c r="X191" s="1799"/>
      <c r="Y191" s="1799"/>
      <c r="Z191" s="1799"/>
      <c r="AA191" s="1799"/>
      <c r="AB191" s="1799"/>
      <c r="AC191" s="1799"/>
      <c r="AD191" s="1799"/>
      <c r="AE191" s="1799"/>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789" t="s">
        <v>1970</v>
      </c>
      <c r="U193" s="1789"/>
      <c r="V193" s="1789"/>
      <c r="W193" s="1789"/>
      <c r="X193" s="1789"/>
      <c r="Y193" s="1789"/>
      <c r="Z193" s="1789"/>
      <c r="AA193" s="1789"/>
      <c r="AB193" s="1789"/>
      <c r="AC193" s="1789"/>
      <c r="AD193" s="1789"/>
      <c r="AE193" s="1789"/>
      <c r="AF193" s="1789"/>
      <c r="AG193" s="1789"/>
      <c r="AH193" s="1789"/>
      <c r="AI193" s="1789"/>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31" t="s">
        <v>669</v>
      </c>
      <c r="AI194" s="1331"/>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331</v>
      </c>
      <c r="T195" s="1331" t="s">
        <v>669</v>
      </c>
      <c r="U195" s="1331"/>
      <c r="W195" t="s">
        <v>684</v>
      </c>
      <c r="AH195" s="1331">
        <v>1</v>
      </c>
      <c r="AI195" s="1331"/>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386</v>
      </c>
      <c r="T196" s="1403" t="s">
        <v>669</v>
      </c>
      <c r="U196" s="1403"/>
      <c r="W196" t="s">
        <v>685</v>
      </c>
      <c r="AH196" s="1331">
        <v>3</v>
      </c>
      <c r="AI196" s="1331"/>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169</v>
      </c>
      <c r="T197" s="1403" t="s">
        <v>669</v>
      </c>
      <c r="U197" s="1403"/>
      <c r="W197" t="s">
        <v>686</v>
      </c>
      <c r="AH197" s="1331">
        <v>1</v>
      </c>
      <c r="AI197" s="1331"/>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03">
        <v>0</v>
      </c>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31"/>
      <c r="U199" s="1331"/>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331" t="s">
        <v>669</v>
      </c>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358" t="s">
        <v>385</v>
      </c>
      <c r="E204" s="1358"/>
      <c r="F204" s="1358"/>
      <c r="G204" s="1358"/>
      <c r="H204" s="1358"/>
      <c r="I204" s="1358"/>
      <c r="J204" s="1358"/>
      <c r="K204" s="1358"/>
      <c r="L204" s="1358"/>
      <c r="M204" s="1358"/>
      <c r="P204" s="1797">
        <f>M26</f>
        <v>1531497</v>
      </c>
      <c r="Q204" s="1777"/>
      <c r="R204" s="1777"/>
      <c r="S204" s="1777"/>
      <c r="T204" s="1777"/>
      <c r="U204" s="1777"/>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809" t="s">
        <v>1247</v>
      </c>
      <c r="E205" s="1358"/>
      <c r="F205" s="1358"/>
      <c r="G205" s="1358"/>
      <c r="H205" s="1358"/>
      <c r="I205" s="1358"/>
      <c r="J205" s="1358"/>
      <c r="K205" s="1358"/>
      <c r="L205" s="1358"/>
      <c r="M205" s="1358"/>
      <c r="P205" s="1777">
        <f>M27</f>
        <v>0</v>
      </c>
      <c r="Q205" s="1777"/>
      <c r="R205" s="1777"/>
      <c r="S205" s="1777"/>
      <c r="T205" s="1777"/>
      <c r="U205" s="1777"/>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4"/>
      <c r="AQ205" s="1334"/>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417" t="s">
        <v>2624</v>
      </c>
      <c r="E208" s="1417"/>
      <c r="F208" s="1417"/>
      <c r="G208" s="1417"/>
      <c r="H208" s="1417"/>
      <c r="I208" s="1417"/>
      <c r="J208" s="1417"/>
      <c r="K208" s="1417"/>
      <c r="L208" s="1417"/>
      <c r="M208" s="1417"/>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1041</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31">
        <v>0</v>
      </c>
      <c r="R212" s="1331"/>
      <c r="T212" s="1791">
        <f>IFERROR(Q212/AG440,0)</f>
        <v>0</v>
      </c>
      <c r="U212" s="1792"/>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4" t="s">
        <v>591</v>
      </c>
      <c r="E214" s="1794"/>
      <c r="F214" s="1794"/>
      <c r="G214" s="1794"/>
      <c r="H214" s="1794"/>
      <c r="I214" s="1794"/>
      <c r="J214" s="1794"/>
      <c r="K214" s="1794"/>
      <c r="L214" s="1794"/>
      <c r="M214" s="1794"/>
      <c r="N214" s="1794"/>
      <c r="O214" s="1794"/>
      <c r="P214" s="1794"/>
      <c r="Q214" s="1794"/>
      <c r="R214" s="1794"/>
      <c r="S214" s="1794"/>
      <c r="T214" s="1794"/>
      <c r="U214" s="1794"/>
      <c r="V214" s="1794"/>
      <c r="W214" s="1794"/>
      <c r="X214" s="1794"/>
      <c r="Y214" s="1794"/>
      <c r="Z214" s="1794"/>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793"/>
      <c r="AC215" s="1793"/>
      <c r="AD215" s="1793"/>
      <c r="AE215" s="1793"/>
      <c r="AF215" s="1793"/>
      <c r="AG215" s="1793"/>
      <c r="AH215" s="1793"/>
      <c r="AI215" s="1793"/>
      <c r="AJ215" s="1793"/>
      <c r="AK215" s="1793"/>
      <c r="AL215" s="1793"/>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793"/>
      <c r="AC216" s="1793"/>
      <c r="AD216" s="1793"/>
      <c r="AE216" s="1793"/>
      <c r="AF216" s="1793"/>
      <c r="AG216" s="1793"/>
      <c r="AH216" s="1793"/>
      <c r="AI216" s="1793"/>
      <c r="AJ216" s="1793"/>
      <c r="AK216" s="1793"/>
      <c r="AL216" s="1793"/>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377</v>
      </c>
    </row>
    <row r="220" spans="1:108" ht="13"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2471</v>
      </c>
      <c r="AD220" s="1808"/>
      <c r="AE220" s="1808"/>
      <c r="AF220" s="1808"/>
      <c r="AG220" s="1808"/>
      <c r="AH220" s="1808"/>
      <c r="AI220" s="1808"/>
      <c r="AJ220" s="1808"/>
      <c r="AK220" s="1808"/>
      <c r="AL220" s="1808"/>
      <c r="AM220" s="1808"/>
      <c r="AN220" s="1808"/>
      <c r="AO220" s="1808"/>
      <c r="AP220" s="1808"/>
      <c r="AQ220" s="1808"/>
      <c r="BA220" s="3"/>
      <c r="BC220" t="s">
        <v>300</v>
      </c>
    </row>
    <row r="221" spans="1:108" ht="13" customHeight="1">
      <c r="A221" s="2"/>
      <c r="B221" s="14"/>
      <c r="C221" s="2"/>
      <c r="BA221" s="3"/>
    </row>
    <row r="222" spans="1:108" ht="13"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545</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591</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591</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786" t="str">
        <f>H16</f>
        <v>Greenfield Apartments Associates, L.P.</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06" t="s">
        <v>538</v>
      </c>
      <c r="BG232" s="242">
        <f>IF(AND(AND($M$249="nonprofit",$M$257="nonprofit",$M$265="for profit")),2,0)</f>
        <v>0</v>
      </c>
    </row>
    <row r="233" spans="1:59" ht="13" customHeight="1">
      <c r="D233" s="4" t="s">
        <v>85</v>
      </c>
      <c r="E233" s="4"/>
      <c r="F233" s="4"/>
      <c r="G233" s="4"/>
      <c r="H233" s="4"/>
      <c r="I233" s="4"/>
      <c r="J233" s="4"/>
      <c r="K233" s="4"/>
      <c r="M233" s="1371" t="s">
        <v>2626</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538</v>
      </c>
      <c r="BG233" s="242">
        <f>IF(AND(AND($M$249="nonprofit",$M$257="for profit",$M$265="nonprofit")),2,0)</f>
        <v>0</v>
      </c>
    </row>
    <row r="234" spans="1:59" ht="13" customHeight="1">
      <c r="D234" s="4" t="s">
        <v>580</v>
      </c>
      <c r="E234" s="4"/>
      <c r="M234" s="1371" t="s">
        <v>2614</v>
      </c>
      <c r="N234" s="1417"/>
      <c r="O234" s="1417"/>
      <c r="P234" s="1417"/>
      <c r="Q234" s="1417"/>
      <c r="R234" s="1417"/>
      <c r="S234" s="1417"/>
      <c r="T234" s="1417"/>
      <c r="V234" s="33" t="s">
        <v>86</v>
      </c>
      <c r="W234" s="1459" t="s">
        <v>2627</v>
      </c>
      <c r="X234" s="1438"/>
      <c r="Y234" s="4" t="s">
        <v>583</v>
      </c>
      <c r="AC234" s="1417">
        <v>92618</v>
      </c>
      <c r="AD234" s="1417"/>
      <c r="AE234" s="1417"/>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371" t="s">
        <v>2758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2759</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5" t="s">
        <v>537</v>
      </c>
      <c r="BG236" s="242">
        <f>IF(AND(AND($M$249="nonprofit",$M$257="nonprofit",$M$265="(select one)")),1,0)</f>
        <v>0</v>
      </c>
    </row>
    <row r="237" spans="1:59" ht="13" customHeight="1">
      <c r="D237" s="4" t="s">
        <v>90</v>
      </c>
      <c r="E237" s="4"/>
      <c r="F237" s="4"/>
      <c r="M237" s="1780" t="s">
        <v>2760</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48" t="s">
        <v>528</v>
      </c>
      <c r="N238" s="1348"/>
      <c r="O238" s="1348"/>
      <c r="P238" s="1348"/>
      <c r="Q238" s="1348"/>
      <c r="R238" s="1348"/>
      <c r="S238" s="1348"/>
      <c r="T238" s="1348"/>
      <c r="U238" s="205" t="s">
        <v>906</v>
      </c>
      <c r="V238" s="205"/>
      <c r="W238" s="205"/>
      <c r="X238" s="205"/>
      <c r="Y238" s="205"/>
      <c r="Z238" s="205"/>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19" t="s">
        <v>2633</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2634</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371" t="s">
        <v>2626</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371" t="s">
        <v>2614</v>
      </c>
      <c r="N245" s="1417"/>
      <c r="O245" s="1417"/>
      <c r="P245" s="1417"/>
      <c r="Q245" s="1417"/>
      <c r="R245" s="1417"/>
      <c r="S245" s="1417"/>
      <c r="T245" s="1417"/>
      <c r="V245" s="33" t="s">
        <v>86</v>
      </c>
      <c r="W245" s="1459" t="s">
        <v>2627</v>
      </c>
      <c r="X245" s="1438"/>
      <c r="Y245" s="4" t="s">
        <v>583</v>
      </c>
      <c r="AC245" s="1417">
        <v>92618</v>
      </c>
      <c r="AD245" s="1417"/>
      <c r="AE245" s="1417"/>
      <c r="AF245" s="3" t="s">
        <v>1180</v>
      </c>
      <c r="AU245" s="4"/>
      <c r="AV245" s="4"/>
      <c r="AW245" s="4"/>
      <c r="AX245" s="4"/>
      <c r="AY245" s="4"/>
      <c r="BB245" s="4" t="s">
        <v>280</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371" t="s">
        <v>2612</v>
      </c>
      <c r="N246" s="1417"/>
      <c r="O246" s="1417"/>
      <c r="P246" s="1417"/>
      <c r="Q246" s="1417"/>
      <c r="R246" s="1417"/>
      <c r="S246" s="1417"/>
      <c r="T246" s="1417"/>
      <c r="U246" s="1417"/>
      <c r="V246" s="1417"/>
      <c r="W246" s="1417"/>
      <c r="X246" s="1417"/>
      <c r="Y246" s="1417"/>
      <c r="Z246" s="1417"/>
      <c r="AA246" s="1417"/>
      <c r="AB246" s="1417"/>
      <c r="AC246" s="1417"/>
      <c r="AD246" s="1417"/>
      <c r="AE246" s="1417"/>
      <c r="AH246" s="1774"/>
      <c r="AI246" s="1774"/>
      <c r="AJ246" s="1774"/>
      <c r="AK246" s="1774"/>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345" t="s">
        <v>2628</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0" t="s">
        <v>2629</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5" t="s">
        <v>906</v>
      </c>
      <c r="V249" s="205"/>
      <c r="W249" s="205"/>
      <c r="X249" s="205"/>
      <c r="Y249" s="205"/>
      <c r="Z249" s="205"/>
      <c r="AA249" s="1771" t="s">
        <v>2625</v>
      </c>
      <c r="AB249" s="1772"/>
      <c r="AC249" s="1772"/>
      <c r="AD249" s="1772"/>
      <c r="AE249" s="1772"/>
      <c r="AF249" s="1772"/>
      <c r="AG249" s="1772"/>
      <c r="AH249" s="1772"/>
      <c r="AI249" s="1772"/>
      <c r="AJ249" s="1772"/>
      <c r="AK249" s="177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19" t="s">
        <v>2635</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2636</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371" t="s">
        <v>2637</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3" customHeight="1">
      <c r="A253" s="19"/>
      <c r="B253" s="4"/>
      <c r="C253" s="4"/>
      <c r="D253" s="4" t="s">
        <v>580</v>
      </c>
      <c r="E253" s="4"/>
      <c r="M253" s="1371" t="s">
        <v>2614</v>
      </c>
      <c r="N253" s="1417"/>
      <c r="O253" s="1417"/>
      <c r="P253" s="1417"/>
      <c r="Q253" s="1417"/>
      <c r="R253" s="1417"/>
      <c r="S253" s="1417"/>
      <c r="T253" s="1417"/>
      <c r="V253" s="33" t="s">
        <v>86</v>
      </c>
      <c r="W253" s="1459" t="s">
        <v>2627</v>
      </c>
      <c r="X253" s="1438"/>
      <c r="Y253" s="4" t="s">
        <v>583</v>
      </c>
      <c r="AC253" s="1417">
        <v>92618</v>
      </c>
      <c r="AD253" s="1417"/>
      <c r="AE253" s="141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371" t="s">
        <v>2638</v>
      </c>
      <c r="N254" s="1417"/>
      <c r="O254" s="1417"/>
      <c r="P254" s="1417"/>
      <c r="Q254" s="1417"/>
      <c r="R254" s="1417"/>
      <c r="S254" s="1417"/>
      <c r="T254" s="1417"/>
      <c r="U254" s="1417"/>
      <c r="V254" s="1417"/>
      <c r="W254" s="1417"/>
      <c r="X254" s="1417"/>
      <c r="Y254" s="1417"/>
      <c r="Z254" s="1417"/>
      <c r="AA254" s="1417"/>
      <c r="AB254" s="1417"/>
      <c r="AC254" s="1417"/>
      <c r="AD254" s="1417"/>
      <c r="AE254" s="1417"/>
      <c r="AH254" s="1774"/>
      <c r="AI254" s="1774"/>
      <c r="AJ254" s="1774"/>
      <c r="AK254" s="1774"/>
      <c r="AL254" s="4"/>
      <c r="AM254" s="4"/>
      <c r="AN254" s="4"/>
      <c r="AO254" s="4"/>
      <c r="AP254" s="4"/>
      <c r="AQ254" s="4"/>
      <c r="AR254" s="4"/>
      <c r="AS254" s="4"/>
      <c r="AT254" s="4"/>
    </row>
    <row r="255" spans="1:67" ht="13" customHeight="1">
      <c r="A255" s="19"/>
      <c r="B255" s="4"/>
      <c r="C255" s="4"/>
      <c r="D255" s="4" t="s">
        <v>88</v>
      </c>
      <c r="E255" s="4"/>
      <c r="F255" s="4"/>
      <c r="M255" s="1345" t="s">
        <v>2639</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0" t="s">
        <v>2640</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8" t="s">
        <v>534</v>
      </c>
      <c r="N257" s="1348"/>
      <c r="O257" s="1348"/>
      <c r="P257" s="1348"/>
      <c r="Q257" s="1348"/>
      <c r="R257" s="1348"/>
      <c r="S257" s="1348"/>
      <c r="T257" s="1348"/>
      <c r="U257" s="205" t="s">
        <v>906</v>
      </c>
      <c r="V257" s="205"/>
      <c r="W257" s="205"/>
      <c r="X257" s="205"/>
      <c r="Y257" s="205"/>
      <c r="Z257" s="205"/>
      <c r="AA257" s="1771" t="s">
        <v>2641</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7"/>
      <c r="N261" s="1417"/>
      <c r="O261" s="1417"/>
      <c r="P261" s="1417"/>
      <c r="Q261" s="1417"/>
      <c r="R261" s="1417"/>
      <c r="S261" s="1417"/>
      <c r="T261" s="1417"/>
      <c r="V261" s="33" t="s">
        <v>86</v>
      </c>
      <c r="W261" s="1438"/>
      <c r="X261" s="1438"/>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4"/>
      <c r="AI262" s="1774"/>
      <c r="AJ262" s="1774"/>
      <c r="AK262" s="1774"/>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8" t="s">
        <v>307</v>
      </c>
      <c r="N265" s="1348"/>
      <c r="O265" s="1348"/>
      <c r="P265" s="1348"/>
      <c r="Q265" s="1348"/>
      <c r="R265" s="1348"/>
      <c r="S265" s="1348"/>
      <c r="T265" s="1348"/>
      <c r="U265" s="205" t="s">
        <v>906</v>
      </c>
      <c r="V265" s="205"/>
      <c r="W265" s="205"/>
      <c r="X265" s="205"/>
      <c r="Y265" s="205"/>
      <c r="Z265" s="205"/>
      <c r="AA265" s="1773"/>
      <c r="AB265" s="1773"/>
      <c r="AC265" s="1773"/>
      <c r="AD265" s="1773"/>
      <c r="AE265" s="1773"/>
      <c r="AF265" s="1773"/>
      <c r="AG265" s="1773"/>
      <c r="AH265" s="1773"/>
      <c r="AI265" s="1773"/>
      <c r="AJ265" s="1773"/>
      <c r="AK265" s="177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75" t="str">
        <f>IFERROR(BO245,"")</f>
        <v>Joint Venture</v>
      </c>
      <c r="U267" s="1775"/>
      <c r="V267" s="1775"/>
      <c r="W267" s="1775"/>
      <c r="X267" s="1775"/>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417" t="s">
        <v>280</v>
      </c>
      <c r="E270" s="1417"/>
      <c r="F270" s="1417"/>
      <c r="G270" s="1417"/>
      <c r="H270" s="1417"/>
      <c r="J270" t="s">
        <v>279</v>
      </c>
      <c r="X270" s="1692">
        <v>44903</v>
      </c>
      <c r="Y270" s="1692"/>
      <c r="Z270" s="1692"/>
      <c r="AA270" s="1692"/>
      <c r="AB270" s="1692"/>
      <c r="AC270" s="169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9" t="s">
        <v>2625</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71" t="s">
        <v>2626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580</v>
      </c>
      <c r="E276" s="4"/>
      <c r="L276" s="1371" t="s">
        <v>2614</v>
      </c>
      <c r="M276" s="1417"/>
      <c r="N276" s="1417"/>
      <c r="O276" s="1417"/>
      <c r="P276" s="1417"/>
      <c r="Q276" s="1417"/>
      <c r="R276" s="1417"/>
      <c r="S276" s="1417"/>
      <c r="U276" s="33" t="s">
        <v>86</v>
      </c>
      <c r="V276" s="1459" t="s">
        <v>2627</v>
      </c>
      <c r="W276" s="1438"/>
      <c r="X276" s="4" t="s">
        <v>583</v>
      </c>
      <c r="AB276" s="1417">
        <v>92618</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71" t="s">
        <v>2612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5" t="s">
        <v>2628</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3" customHeight="1">
      <c r="D279" s="4" t="s">
        <v>90</v>
      </c>
      <c r="E279" s="4"/>
      <c r="F279" s="4"/>
      <c r="L279" s="1780" t="s">
        <v>2629</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row>
    <row r="280" spans="1:51" ht="13" customHeight="1">
      <c r="D280" s="3" t="s">
        <v>623</v>
      </c>
      <c r="E280" s="3"/>
      <c r="F280" s="3"/>
      <c r="G280" s="3"/>
      <c r="H280" s="3"/>
      <c r="I280" s="3"/>
      <c r="L280" s="1459" t="s">
        <v>2630</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2" t="s">
        <v>2625</v>
      </c>
      <c r="I287" s="1372"/>
      <c r="J287" s="1372"/>
      <c r="K287" s="1372"/>
      <c r="L287" s="1372"/>
      <c r="M287" s="1372"/>
      <c r="N287" s="1372"/>
      <c r="O287" s="1372"/>
      <c r="P287" s="1372"/>
      <c r="Q287" s="1372"/>
      <c r="R287" s="1372"/>
      <c r="T287" s="3" t="s">
        <v>567</v>
      </c>
      <c r="V287" s="3"/>
      <c r="W287" s="3"/>
      <c r="X287" s="3"/>
      <c r="Y287" s="3"/>
      <c r="AA287" s="1372" t="s">
        <v>2658</v>
      </c>
      <c r="AB287" s="1372"/>
      <c r="AC287" s="1372"/>
      <c r="AD287" s="1372"/>
      <c r="AE287" s="1372"/>
      <c r="AF287" s="1372"/>
      <c r="AG287" s="1372"/>
      <c r="AH287" s="1372"/>
      <c r="AI287" s="1372"/>
      <c r="AJ287" s="1372"/>
      <c r="AK287" s="1372"/>
    </row>
    <row r="288" spans="1:51" ht="13" customHeight="1">
      <c r="B288" s="3" t="s">
        <v>471</v>
      </c>
      <c r="C288" s="3"/>
      <c r="D288" s="3"/>
      <c r="E288" s="3"/>
      <c r="F288" s="3"/>
      <c r="H288" s="1348" t="s">
        <v>2626</v>
      </c>
      <c r="I288" s="1348"/>
      <c r="J288" s="1348"/>
      <c r="K288" s="1348"/>
      <c r="L288" s="1348"/>
      <c r="M288" s="1348"/>
      <c r="N288" s="1348"/>
      <c r="O288" s="1348"/>
      <c r="P288" s="1348"/>
      <c r="Q288" s="1348"/>
      <c r="R288" s="1348"/>
      <c r="T288" s="3" t="s">
        <v>471</v>
      </c>
      <c r="V288" s="3"/>
      <c r="W288" s="3"/>
      <c r="X288" s="3"/>
      <c r="Y288" s="3"/>
      <c r="AA288" s="1348" t="s">
        <v>2659</v>
      </c>
      <c r="AB288" s="1348"/>
      <c r="AC288" s="1348"/>
      <c r="AD288" s="1348"/>
      <c r="AE288" s="1348"/>
      <c r="AF288" s="1348"/>
      <c r="AG288" s="1348"/>
      <c r="AH288" s="1348"/>
      <c r="AI288" s="1348"/>
      <c r="AJ288" s="1348"/>
      <c r="AK288" s="1348"/>
    </row>
    <row r="289" spans="2:37" ht="13" customHeight="1">
      <c r="B289" s="3" t="s">
        <v>472</v>
      </c>
      <c r="C289" s="3"/>
      <c r="D289" s="3"/>
      <c r="E289" s="3"/>
      <c r="F289" s="3"/>
      <c r="H289" s="1348" t="s">
        <v>2642</v>
      </c>
      <c r="I289" s="1348"/>
      <c r="J289" s="1348"/>
      <c r="K289" s="1348"/>
      <c r="L289" s="1348"/>
      <c r="M289" s="1348"/>
      <c r="N289" s="1348"/>
      <c r="O289" s="1348"/>
      <c r="P289" s="1348"/>
      <c r="Q289" s="1348"/>
      <c r="R289" s="1348"/>
      <c r="T289" s="3" t="s">
        <v>75</v>
      </c>
      <c r="V289" s="3"/>
      <c r="W289" s="3"/>
      <c r="X289" s="3"/>
      <c r="Y289" s="3"/>
      <c r="AA289" s="1348" t="s">
        <v>2660</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2612</v>
      </c>
      <c r="I290" s="1348"/>
      <c r="J290" s="1348"/>
      <c r="K290" s="1348"/>
      <c r="L290" s="1348"/>
      <c r="M290" s="1348"/>
      <c r="N290" s="1348"/>
      <c r="O290" s="1348"/>
      <c r="P290" s="1348"/>
      <c r="Q290" s="1348"/>
      <c r="R290" s="1348"/>
      <c r="T290" s="3" t="s">
        <v>87</v>
      </c>
      <c r="V290" s="3"/>
      <c r="W290" s="3"/>
      <c r="X290" s="3"/>
      <c r="Y290" s="3"/>
      <c r="AA290" s="1348" t="s">
        <v>2661</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3" t="s">
        <v>2628</v>
      </c>
      <c r="I291" s="1424"/>
      <c r="J291" s="1424"/>
      <c r="K291" s="1424"/>
      <c r="L291" s="1424"/>
      <c r="M291" s="1424"/>
      <c r="N291" s="4" t="s">
        <v>206</v>
      </c>
      <c r="O291" s="4"/>
      <c r="P291" s="1417"/>
      <c r="Q291" s="1417"/>
      <c r="R291" s="1417"/>
      <c r="S291" s="3"/>
      <c r="T291" s="3" t="s">
        <v>88</v>
      </c>
      <c r="V291" s="3"/>
      <c r="W291" s="3"/>
      <c r="X291" s="3"/>
      <c r="Y291" s="3"/>
      <c r="AA291" s="1423" t="s">
        <v>2662</v>
      </c>
      <c r="AB291" s="1424"/>
      <c r="AC291" s="1424"/>
      <c r="AD291" s="1424"/>
      <c r="AE291" s="1424"/>
      <c r="AF291" s="1424"/>
      <c r="AG291" s="4" t="s">
        <v>206</v>
      </c>
      <c r="AH291" s="4"/>
      <c r="AI291" s="1417"/>
      <c r="AJ291" s="1417"/>
      <c r="AK291" s="1417"/>
    </row>
    <row r="292" spans="2:37" ht="13" customHeight="1">
      <c r="B292" s="3" t="s">
        <v>89</v>
      </c>
      <c r="C292" s="3"/>
      <c r="D292" s="3"/>
      <c r="E292" s="3"/>
      <c r="F292" s="3"/>
      <c r="G292" s="3"/>
      <c r="H292" s="1345" t="s">
        <v>2643</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 customHeight="1">
      <c r="B293" s="3" t="s">
        <v>76</v>
      </c>
      <c r="C293" s="3"/>
      <c r="D293" s="3"/>
      <c r="E293" s="3"/>
      <c r="F293" s="3"/>
      <c r="G293" s="3"/>
      <c r="H293" s="1348" t="s">
        <v>2629</v>
      </c>
      <c r="I293" s="1348"/>
      <c r="J293" s="1348"/>
      <c r="K293" s="1348"/>
      <c r="L293" s="1348"/>
      <c r="M293" s="1348"/>
      <c r="N293" s="1372"/>
      <c r="O293" s="1372"/>
      <c r="P293" s="1372"/>
      <c r="Q293" s="1372"/>
      <c r="R293" s="1372"/>
      <c r="S293" s="3"/>
      <c r="T293" s="3" t="s">
        <v>76</v>
      </c>
      <c r="V293" s="3"/>
      <c r="W293" s="3"/>
      <c r="X293" s="3"/>
      <c r="Y293" s="3"/>
      <c r="AA293" s="1348" t="s">
        <v>2663</v>
      </c>
      <c r="AB293" s="1348"/>
      <c r="AC293" s="1348"/>
      <c r="AD293" s="1348"/>
      <c r="AE293" s="1348"/>
      <c r="AF293" s="1348"/>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2644</v>
      </c>
      <c r="I295" s="1372"/>
      <c r="J295" s="1372"/>
      <c r="K295" s="1372"/>
      <c r="L295" s="1372"/>
      <c r="M295" s="1372"/>
      <c r="N295" s="1372"/>
      <c r="O295" s="1372"/>
      <c r="P295" s="1372"/>
      <c r="Q295" s="1372"/>
      <c r="R295" s="1372"/>
      <c r="T295" s="3" t="s">
        <v>364</v>
      </c>
      <c r="V295" s="3"/>
      <c r="W295" s="3"/>
      <c r="X295" s="3"/>
      <c r="Y295" s="3"/>
      <c r="AA295" s="1372" t="s">
        <v>2664</v>
      </c>
      <c r="AB295" s="1372"/>
      <c r="AC295" s="1372"/>
      <c r="AD295" s="1372"/>
      <c r="AE295" s="1372"/>
      <c r="AF295" s="1372"/>
      <c r="AG295" s="1372"/>
      <c r="AH295" s="1372"/>
      <c r="AI295" s="1372"/>
      <c r="AJ295" s="1372"/>
      <c r="AK295" s="1372"/>
    </row>
    <row r="296" spans="2:37" ht="13" customHeight="1">
      <c r="B296" s="3" t="s">
        <v>471</v>
      </c>
      <c r="C296" s="3"/>
      <c r="D296" s="3"/>
      <c r="E296" s="3"/>
      <c r="F296" s="3"/>
      <c r="H296" s="1348" t="s">
        <v>2645</v>
      </c>
      <c r="I296" s="1348"/>
      <c r="J296" s="1348"/>
      <c r="K296" s="1348"/>
      <c r="L296" s="1348"/>
      <c r="M296" s="1348"/>
      <c r="N296" s="1348"/>
      <c r="O296" s="1348"/>
      <c r="P296" s="1348"/>
      <c r="Q296" s="1348"/>
      <c r="R296" s="1348"/>
      <c r="T296" s="3" t="s">
        <v>471</v>
      </c>
      <c r="V296" s="3"/>
      <c r="W296" s="3"/>
      <c r="X296" s="3"/>
      <c r="Y296" s="3"/>
      <c r="AA296" s="1348" t="s">
        <v>2626</v>
      </c>
      <c r="AB296" s="1348"/>
      <c r="AC296" s="1348"/>
      <c r="AD296" s="1348"/>
      <c r="AE296" s="1348"/>
      <c r="AF296" s="1348"/>
      <c r="AG296" s="1348"/>
      <c r="AH296" s="1348"/>
      <c r="AI296" s="1348"/>
      <c r="AJ296" s="1348"/>
      <c r="AK296" s="1348"/>
    </row>
    <row r="297" spans="2:37" ht="13" customHeight="1">
      <c r="B297" s="3" t="s">
        <v>472</v>
      </c>
      <c r="C297" s="3"/>
      <c r="D297" s="3"/>
      <c r="E297" s="3"/>
      <c r="F297" s="3"/>
      <c r="H297" s="1348" t="s">
        <v>2646</v>
      </c>
      <c r="I297" s="1348"/>
      <c r="J297" s="1348"/>
      <c r="K297" s="1348"/>
      <c r="L297" s="1348"/>
      <c r="M297" s="1348"/>
      <c r="N297" s="1348"/>
      <c r="O297" s="1348"/>
      <c r="P297" s="1348"/>
      <c r="Q297" s="1348"/>
      <c r="R297" s="1348"/>
      <c r="T297" s="3" t="s">
        <v>75</v>
      </c>
      <c r="V297" s="3"/>
      <c r="W297" s="3"/>
      <c r="X297" s="3"/>
      <c r="Y297" s="3"/>
      <c r="AA297" s="1348" t="s">
        <v>2642</v>
      </c>
      <c r="AB297" s="1348"/>
      <c r="AC297" s="1348"/>
      <c r="AD297" s="1348"/>
      <c r="AE297" s="1348"/>
      <c r="AF297" s="1348"/>
      <c r="AG297" s="1348"/>
      <c r="AH297" s="1348"/>
      <c r="AI297" s="1348"/>
      <c r="AJ297" s="1348"/>
      <c r="AK297" s="1348"/>
    </row>
    <row r="298" spans="2:37" ht="13" customHeight="1">
      <c r="B298" s="3" t="s">
        <v>87</v>
      </c>
      <c r="C298" s="3"/>
      <c r="D298" s="3"/>
      <c r="E298" s="3"/>
      <c r="F298" s="3"/>
      <c r="H298" s="1348" t="s">
        <v>2647</v>
      </c>
      <c r="I298" s="1348"/>
      <c r="J298" s="1348"/>
      <c r="K298" s="1348"/>
      <c r="L298" s="1348"/>
      <c r="M298" s="1348"/>
      <c r="N298" s="1348"/>
      <c r="O298" s="1348"/>
      <c r="P298" s="1348"/>
      <c r="Q298" s="1348"/>
      <c r="R298" s="1348"/>
      <c r="T298" s="3" t="s">
        <v>87</v>
      </c>
      <c r="V298" s="3"/>
      <c r="W298" s="3"/>
      <c r="X298" s="3"/>
      <c r="Y298" s="3"/>
      <c r="AA298" s="1348" t="s">
        <v>2665</v>
      </c>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2648</v>
      </c>
      <c r="I299" s="1424"/>
      <c r="J299" s="1424"/>
      <c r="K299" s="1424"/>
      <c r="L299" s="1424"/>
      <c r="M299" s="1424"/>
      <c r="N299" s="4" t="s">
        <v>206</v>
      </c>
      <c r="O299" s="4"/>
      <c r="P299" s="1417"/>
      <c r="Q299" s="1417"/>
      <c r="R299" s="1417"/>
      <c r="S299" s="3"/>
      <c r="T299" s="3" t="s">
        <v>88</v>
      </c>
      <c r="V299" s="3"/>
      <c r="W299" s="3"/>
      <c r="X299" s="3"/>
      <c r="Y299" s="3"/>
      <c r="AA299" s="1423" t="s">
        <v>2666</v>
      </c>
      <c r="AB299" s="1424"/>
      <c r="AC299" s="1424"/>
      <c r="AD299" s="1424"/>
      <c r="AE299" s="1424"/>
      <c r="AF299" s="1424"/>
      <c r="AG299" s="4" t="s">
        <v>206</v>
      </c>
      <c r="AH299" s="4"/>
      <c r="AI299" s="1417"/>
      <c r="AJ299" s="1417"/>
      <c r="AK299" s="1417"/>
    </row>
    <row r="300" spans="2:37" ht="13" customHeight="1">
      <c r="B300" s="3" t="s">
        <v>89</v>
      </c>
      <c r="C300" s="3"/>
      <c r="D300" s="3"/>
      <c r="E300" s="3"/>
      <c r="F300" s="3"/>
      <c r="G300" s="3"/>
      <c r="H300" s="1345" t="s">
        <v>2649</v>
      </c>
      <c r="I300" s="1346"/>
      <c r="J300" s="1346"/>
      <c r="K300" s="1346"/>
      <c r="L300" s="1346"/>
      <c r="M300" s="1346"/>
      <c r="N300" s="4"/>
      <c r="O300" s="4"/>
      <c r="P300" s="35"/>
      <c r="Q300" s="35"/>
      <c r="R300" s="35"/>
      <c r="S300" s="3"/>
      <c r="T300" s="3" t="s">
        <v>89</v>
      </c>
      <c r="V300" s="3"/>
      <c r="W300" s="3"/>
      <c r="X300" s="3"/>
      <c r="Y300" s="3"/>
      <c r="AA300" s="1345" t="s">
        <v>2643</v>
      </c>
      <c r="AB300" s="1346"/>
      <c r="AC300" s="1346"/>
      <c r="AD300" s="1346"/>
      <c r="AE300" s="1346"/>
      <c r="AF300" s="1346"/>
      <c r="AG300" s="4"/>
      <c r="AH300" s="4"/>
      <c r="AI300" s="35"/>
      <c r="AJ300" s="35"/>
      <c r="AK300" s="35"/>
    </row>
    <row r="301" spans="2:37" ht="13" customHeight="1">
      <c r="B301" s="3" t="s">
        <v>76</v>
      </c>
      <c r="C301" s="3"/>
      <c r="D301" s="3"/>
      <c r="E301" s="3"/>
      <c r="F301" s="3"/>
      <c r="G301" s="3"/>
      <c r="H301" s="1348" t="s">
        <v>2650</v>
      </c>
      <c r="I301" s="1348"/>
      <c r="J301" s="1348"/>
      <c r="K301" s="1348"/>
      <c r="L301" s="1348"/>
      <c r="M301" s="1348"/>
      <c r="N301" s="1372"/>
      <c r="O301" s="1372"/>
      <c r="P301" s="1372"/>
      <c r="Q301" s="1372"/>
      <c r="R301" s="1372"/>
      <c r="S301" s="3"/>
      <c r="T301" s="3" t="s">
        <v>76</v>
      </c>
      <c r="V301" s="3"/>
      <c r="W301" s="3"/>
      <c r="X301" s="3"/>
      <c r="Y301" s="3"/>
      <c r="AA301" s="1348" t="s">
        <v>2667</v>
      </c>
      <c r="AB301" s="1348"/>
      <c r="AC301" s="1348"/>
      <c r="AD301" s="1348"/>
      <c r="AE301" s="1348"/>
      <c r="AF301" s="1348"/>
      <c r="AG301" s="1372"/>
      <c r="AH301" s="1372"/>
      <c r="AI301" s="1372"/>
      <c r="AJ301" s="1372"/>
      <c r="AK301" s="1372"/>
    </row>
    <row r="302" spans="2:37" ht="13" customHeight="1"/>
    <row r="303" spans="2:37" ht="13" customHeight="1">
      <c r="B303" s="3" t="s">
        <v>77</v>
      </c>
      <c r="C303" s="3"/>
      <c r="D303" s="3"/>
      <c r="E303" s="3"/>
      <c r="F303" s="3"/>
      <c r="H303" s="1372" t="s">
        <v>2651</v>
      </c>
      <c r="I303" s="1372"/>
      <c r="J303" s="1372"/>
      <c r="K303" s="1372"/>
      <c r="L303" s="1372"/>
      <c r="M303" s="1372"/>
      <c r="N303" s="1372"/>
      <c r="O303" s="1372"/>
      <c r="P303" s="1372"/>
      <c r="Q303" s="1372"/>
      <c r="R303" s="1372"/>
      <c r="T303" s="4" t="s">
        <v>878</v>
      </c>
      <c r="V303" s="3"/>
      <c r="W303" s="3"/>
      <c r="X303" s="3"/>
      <c r="Y303" s="3"/>
      <c r="AA303" s="1372" t="s">
        <v>2668</v>
      </c>
      <c r="AB303" s="1372"/>
      <c r="AC303" s="1372"/>
      <c r="AD303" s="1372"/>
      <c r="AE303" s="1372"/>
      <c r="AF303" s="1372"/>
      <c r="AG303" s="1372"/>
      <c r="AH303" s="1372"/>
      <c r="AI303" s="1372"/>
      <c r="AJ303" s="1372"/>
      <c r="AK303" s="1372"/>
    </row>
    <row r="304" spans="2:37" ht="13" customHeight="1">
      <c r="B304" s="3" t="s">
        <v>471</v>
      </c>
      <c r="C304" s="3"/>
      <c r="D304" s="3"/>
      <c r="E304" s="3"/>
      <c r="F304" s="3"/>
      <c r="H304" s="1348" t="s">
        <v>2652</v>
      </c>
      <c r="I304" s="1348"/>
      <c r="J304" s="1348"/>
      <c r="K304" s="1348"/>
      <c r="L304" s="1348"/>
      <c r="M304" s="1348"/>
      <c r="N304" s="1348"/>
      <c r="O304" s="1348"/>
      <c r="P304" s="1348"/>
      <c r="Q304" s="1348"/>
      <c r="R304" s="1348"/>
      <c r="T304" s="3" t="s">
        <v>471</v>
      </c>
      <c r="V304" s="3"/>
      <c r="W304" s="3"/>
      <c r="X304" s="3"/>
      <c r="Y304" s="3"/>
      <c r="AA304" s="1348" t="s">
        <v>2669</v>
      </c>
      <c r="AB304" s="1348"/>
      <c r="AC304" s="1348"/>
      <c r="AD304" s="1348"/>
      <c r="AE304" s="1348"/>
      <c r="AF304" s="1348"/>
      <c r="AG304" s="1348"/>
      <c r="AH304" s="1348"/>
      <c r="AI304" s="1348"/>
      <c r="AJ304" s="1348"/>
      <c r="AK304" s="1348"/>
    </row>
    <row r="305" spans="2:37" ht="13" customHeight="1">
      <c r="B305" s="3" t="s">
        <v>472</v>
      </c>
      <c r="C305" s="3"/>
      <c r="D305" s="3"/>
      <c r="E305" s="3"/>
      <c r="F305" s="3"/>
      <c r="H305" s="1348" t="s">
        <v>2653</v>
      </c>
      <c r="I305" s="1348"/>
      <c r="J305" s="1348"/>
      <c r="K305" s="1348"/>
      <c r="L305" s="1348"/>
      <c r="M305" s="1348"/>
      <c r="N305" s="1348"/>
      <c r="O305" s="1348"/>
      <c r="P305" s="1348"/>
      <c r="Q305" s="1348"/>
      <c r="R305" s="1348"/>
      <c r="T305" s="3" t="s">
        <v>75</v>
      </c>
      <c r="V305" s="3"/>
      <c r="W305" s="3"/>
      <c r="X305" s="3"/>
      <c r="Y305" s="3"/>
      <c r="AA305" s="1348" t="s">
        <v>2670</v>
      </c>
      <c r="AB305" s="1348"/>
      <c r="AC305" s="1348"/>
      <c r="AD305" s="1348"/>
      <c r="AE305" s="1348"/>
      <c r="AF305" s="1348"/>
      <c r="AG305" s="1348"/>
      <c r="AH305" s="1348"/>
      <c r="AI305" s="1348"/>
      <c r="AJ305" s="1348"/>
      <c r="AK305" s="1348"/>
    </row>
    <row r="306" spans="2:37" ht="13" customHeight="1">
      <c r="B306" s="3" t="s">
        <v>87</v>
      </c>
      <c r="C306" s="3"/>
      <c r="D306" s="3"/>
      <c r="E306" s="3"/>
      <c r="F306" s="3"/>
      <c r="H306" s="1348" t="s">
        <v>2654</v>
      </c>
      <c r="I306" s="1348"/>
      <c r="J306" s="1348"/>
      <c r="K306" s="1348"/>
      <c r="L306" s="1348"/>
      <c r="M306" s="1348"/>
      <c r="N306" s="1348"/>
      <c r="O306" s="1348"/>
      <c r="P306" s="1348"/>
      <c r="Q306" s="1348"/>
      <c r="R306" s="1348"/>
      <c r="T306" s="3" t="s">
        <v>87</v>
      </c>
      <c r="V306" s="3"/>
      <c r="W306" s="3"/>
      <c r="X306" s="3"/>
      <c r="Y306" s="3"/>
      <c r="AA306" s="1348" t="s">
        <v>2671</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2655</v>
      </c>
      <c r="I307" s="1424"/>
      <c r="J307" s="1424"/>
      <c r="K307" s="1424"/>
      <c r="L307" s="1424"/>
      <c r="M307" s="1424"/>
      <c r="N307" s="4" t="s">
        <v>206</v>
      </c>
      <c r="O307" s="4"/>
      <c r="P307" s="1417"/>
      <c r="Q307" s="1417"/>
      <c r="R307" s="1417"/>
      <c r="S307" s="3"/>
      <c r="T307" s="3" t="s">
        <v>88</v>
      </c>
      <c r="V307" s="3"/>
      <c r="W307" s="3"/>
      <c r="X307" s="3"/>
      <c r="Y307" s="3"/>
      <c r="AA307" s="1423" t="s">
        <v>2672</v>
      </c>
      <c r="AB307" s="1424"/>
      <c r="AC307" s="1424"/>
      <c r="AD307" s="1424"/>
      <c r="AE307" s="1424"/>
      <c r="AF307" s="1424"/>
      <c r="AG307" s="4" t="s">
        <v>206</v>
      </c>
      <c r="AH307" s="4"/>
      <c r="AI307" s="1417"/>
      <c r="AJ307" s="1417"/>
      <c r="AK307" s="1417"/>
    </row>
    <row r="308" spans="2:37" ht="13" customHeight="1">
      <c r="B308" s="3" t="s">
        <v>89</v>
      </c>
      <c r="C308" s="3"/>
      <c r="D308" s="3"/>
      <c r="E308" s="3"/>
      <c r="F308" s="3"/>
      <c r="G308" s="3"/>
      <c r="H308" s="1345" t="s">
        <v>2656</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348" t="s">
        <v>2657</v>
      </c>
      <c r="I309" s="1348"/>
      <c r="J309" s="1348"/>
      <c r="K309" s="1348"/>
      <c r="L309" s="1348"/>
      <c r="M309" s="1348"/>
      <c r="N309" s="1372"/>
      <c r="O309" s="1372"/>
      <c r="P309" s="1372"/>
      <c r="Q309" s="1372"/>
      <c r="R309" s="1372"/>
      <c r="S309" s="3"/>
      <c r="T309" s="3" t="s">
        <v>76</v>
      </c>
      <c r="V309" s="3"/>
      <c r="W309" s="3"/>
      <c r="X309" s="3"/>
      <c r="Y309" s="3"/>
      <c r="AA309" s="1348" t="s">
        <v>2673</v>
      </c>
      <c r="AB309" s="1348"/>
      <c r="AC309" s="1348"/>
      <c r="AD309" s="1348"/>
      <c r="AE309" s="1348"/>
      <c r="AF309" s="1348"/>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2" t="s">
        <v>2651</v>
      </c>
      <c r="I311" s="1372"/>
      <c r="J311" s="1372"/>
      <c r="K311" s="1372"/>
      <c r="L311" s="1372"/>
      <c r="M311" s="1372"/>
      <c r="N311" s="1372"/>
      <c r="O311" s="1372"/>
      <c r="P311" s="1372"/>
      <c r="Q311" s="1372"/>
      <c r="R311" s="1372"/>
      <c r="S311" s="3"/>
      <c r="T311" s="3" t="s">
        <v>365</v>
      </c>
      <c r="V311" s="3"/>
      <c r="W311" s="3"/>
      <c r="X311" s="3"/>
      <c r="Y311" s="3"/>
      <c r="AA311" s="1372" t="s">
        <v>2681</v>
      </c>
      <c r="AB311" s="1372"/>
      <c r="AC311" s="1372"/>
      <c r="AD311" s="1372"/>
      <c r="AE311" s="1372"/>
      <c r="AF311" s="1372"/>
      <c r="AG311" s="1372"/>
      <c r="AH311" s="1372"/>
      <c r="AI311" s="1372"/>
      <c r="AJ311" s="1372"/>
      <c r="AK311" s="1372"/>
    </row>
    <row r="312" spans="2:37" ht="13" customHeight="1">
      <c r="B312" s="3" t="s">
        <v>471</v>
      </c>
      <c r="C312" s="3"/>
      <c r="D312" s="3"/>
      <c r="E312" s="3"/>
      <c r="F312" s="3"/>
      <c r="H312" s="1348" t="s">
        <v>2652</v>
      </c>
      <c r="I312" s="1348"/>
      <c r="J312" s="1348"/>
      <c r="K312" s="1348"/>
      <c r="L312" s="1348"/>
      <c r="M312" s="1348"/>
      <c r="N312" s="1348"/>
      <c r="O312" s="1348"/>
      <c r="P312" s="1348"/>
      <c r="Q312" s="1348"/>
      <c r="R312" s="1348"/>
      <c r="S312" s="3"/>
      <c r="T312" s="3" t="s">
        <v>471</v>
      </c>
      <c r="V312" s="3"/>
      <c r="W312" s="3"/>
      <c r="X312" s="3"/>
      <c r="Y312" s="3"/>
      <c r="AA312" s="1348" t="s">
        <v>2682</v>
      </c>
      <c r="AB312" s="1348"/>
      <c r="AC312" s="1348"/>
      <c r="AD312" s="1348"/>
      <c r="AE312" s="1348"/>
      <c r="AF312" s="1348"/>
      <c r="AG312" s="1348"/>
      <c r="AH312" s="1348"/>
      <c r="AI312" s="1348"/>
      <c r="AJ312" s="1348"/>
      <c r="AK312" s="1348"/>
    </row>
    <row r="313" spans="2:37" ht="13" customHeight="1">
      <c r="B313" s="3" t="s">
        <v>472</v>
      </c>
      <c r="C313" s="3"/>
      <c r="D313" s="3"/>
      <c r="E313" s="3"/>
      <c r="F313" s="3"/>
      <c r="H313" s="1348" t="s">
        <v>2653</v>
      </c>
      <c r="I313" s="1348"/>
      <c r="J313" s="1348"/>
      <c r="K313" s="1348"/>
      <c r="L313" s="1348"/>
      <c r="M313" s="1348"/>
      <c r="N313" s="1348"/>
      <c r="O313" s="1348"/>
      <c r="P313" s="1348"/>
      <c r="Q313" s="1348"/>
      <c r="R313" s="1348"/>
      <c r="S313" s="3"/>
      <c r="T313" s="3" t="s">
        <v>75</v>
      </c>
      <c r="V313" s="3"/>
      <c r="W313" s="3"/>
      <c r="X313" s="3"/>
      <c r="Y313" s="3"/>
      <c r="AA313" s="1348" t="s">
        <v>2683</v>
      </c>
      <c r="AB313" s="1348"/>
      <c r="AC313" s="1348"/>
      <c r="AD313" s="1348"/>
      <c r="AE313" s="1348"/>
      <c r="AF313" s="1348"/>
      <c r="AG313" s="1348"/>
      <c r="AH313" s="1348"/>
      <c r="AI313" s="1348"/>
      <c r="AJ313" s="1348"/>
      <c r="AK313" s="1348"/>
    </row>
    <row r="314" spans="2:37" ht="13" customHeight="1">
      <c r="B314" s="3" t="s">
        <v>87</v>
      </c>
      <c r="C314" s="3"/>
      <c r="D314" s="3"/>
      <c r="E314" s="3"/>
      <c r="F314" s="3"/>
      <c r="H314" s="1348" t="s">
        <v>2654</v>
      </c>
      <c r="I314" s="1348"/>
      <c r="J314" s="1348"/>
      <c r="K314" s="1348"/>
      <c r="L314" s="1348"/>
      <c r="M314" s="1348"/>
      <c r="N314" s="1348"/>
      <c r="O314" s="1348"/>
      <c r="P314" s="1348"/>
      <c r="Q314" s="1348"/>
      <c r="R314" s="1348"/>
      <c r="S314" s="3"/>
      <c r="T314" s="3" t="s">
        <v>87</v>
      </c>
      <c r="V314" s="3"/>
      <c r="W314" s="3"/>
      <c r="X314" s="3"/>
      <c r="Y314" s="3"/>
      <c r="AA314" s="1348" t="s">
        <v>2684</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4" t="s">
        <v>2655</v>
      </c>
      <c r="I315" s="1424"/>
      <c r="J315" s="1424"/>
      <c r="K315" s="1424"/>
      <c r="L315" s="1424"/>
      <c r="M315" s="1424"/>
      <c r="N315" s="4" t="s">
        <v>206</v>
      </c>
      <c r="O315" s="4"/>
      <c r="P315" s="1417"/>
      <c r="Q315" s="1417"/>
      <c r="R315" s="1417"/>
      <c r="S315" s="3"/>
      <c r="T315" s="3" t="s">
        <v>88</v>
      </c>
      <c r="V315" s="3"/>
      <c r="W315" s="3"/>
      <c r="X315" s="3"/>
      <c r="Y315" s="3"/>
      <c r="AA315" s="1423" t="s">
        <v>2685</v>
      </c>
      <c r="AB315" s="1424"/>
      <c r="AC315" s="1424"/>
      <c r="AD315" s="1424"/>
      <c r="AE315" s="1424"/>
      <c r="AF315" s="1424"/>
      <c r="AG315" s="4" t="s">
        <v>206</v>
      </c>
      <c r="AH315" s="4"/>
      <c r="AI315" s="1417"/>
      <c r="AJ315" s="1417"/>
      <c r="AK315" s="1417"/>
    </row>
    <row r="316" spans="2:37" ht="13" customHeight="1">
      <c r="B316" s="3" t="s">
        <v>89</v>
      </c>
      <c r="C316" s="3"/>
      <c r="D316" s="3"/>
      <c r="E316" s="3"/>
      <c r="F316" s="3"/>
      <c r="G316" s="3"/>
      <c r="H316" s="1346" t="s">
        <v>2656</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348" t="s">
        <v>2657</v>
      </c>
      <c r="I317" s="1348"/>
      <c r="J317" s="1348"/>
      <c r="K317" s="1348"/>
      <c r="L317" s="1348"/>
      <c r="M317" s="1348"/>
      <c r="N317" s="1372"/>
      <c r="O317" s="1372"/>
      <c r="P317" s="1372"/>
      <c r="Q317" s="1372"/>
      <c r="R317" s="1372"/>
      <c r="S317" s="3"/>
      <c r="T317" s="3" t="s">
        <v>76</v>
      </c>
      <c r="V317" s="3"/>
      <c r="W317" s="3"/>
      <c r="X317" s="3"/>
      <c r="Y317" s="3"/>
      <c r="AA317" s="1348" t="s">
        <v>2686</v>
      </c>
      <c r="AB317" s="1348"/>
      <c r="AC317" s="1348"/>
      <c r="AD317" s="1348"/>
      <c r="AE317" s="1348"/>
      <c r="AF317" s="1348"/>
      <c r="AG317" s="1372"/>
      <c r="AH317" s="1372"/>
      <c r="AI317" s="1372"/>
      <c r="AJ317" s="1372"/>
      <c r="AK317" s="1372"/>
    </row>
    <row r="318" spans="2:37" ht="13" customHeight="1"/>
    <row r="319" spans="2:37" ht="13" customHeight="1">
      <c r="B319" s="4" t="s">
        <v>908</v>
      </c>
      <c r="C319" s="3"/>
      <c r="D319" s="3"/>
      <c r="E319" s="3"/>
      <c r="F319" s="3"/>
      <c r="H319" s="1372" t="s">
        <v>591</v>
      </c>
      <c r="I319" s="1372"/>
      <c r="J319" s="1372"/>
      <c r="K319" s="1372"/>
      <c r="L319" s="1372"/>
      <c r="M319" s="1372"/>
      <c r="N319" s="1372"/>
      <c r="O319" s="1372"/>
      <c r="P319" s="1372"/>
      <c r="Q319" s="1372"/>
      <c r="R319" s="1372"/>
      <c r="T319" s="3" t="s">
        <v>366</v>
      </c>
      <c r="V319" s="3"/>
      <c r="W319" s="3"/>
      <c r="X319" s="3"/>
      <c r="Y319" s="3"/>
      <c r="AA319" s="1372" t="s">
        <v>2674</v>
      </c>
      <c r="AB319" s="1372"/>
      <c r="AC319" s="1372"/>
      <c r="AD319" s="1372"/>
      <c r="AE319" s="1372"/>
      <c r="AF319" s="1372"/>
      <c r="AG319" s="1372"/>
      <c r="AH319" s="1372"/>
      <c r="AI319" s="1372"/>
      <c r="AJ319" s="1372"/>
      <c r="AK319" s="1372"/>
    </row>
    <row r="320" spans="2:37" ht="13"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2675</v>
      </c>
      <c r="AB320" s="1348"/>
      <c r="AC320" s="1348"/>
      <c r="AD320" s="1348"/>
      <c r="AE320" s="1348"/>
      <c r="AF320" s="1348"/>
      <c r="AG320" s="1348"/>
      <c r="AH320" s="1348"/>
      <c r="AI320" s="1348"/>
      <c r="AJ320" s="1348"/>
      <c r="AK320" s="1348"/>
    </row>
    <row r="321" spans="2:37" ht="13"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2676</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2677</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3" t="s">
        <v>2678</v>
      </c>
      <c r="AB323" s="1424"/>
      <c r="AC323" s="1424"/>
      <c r="AD323" s="1424"/>
      <c r="AE323" s="1424"/>
      <c r="AF323" s="1424"/>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5" t="s">
        <v>2679</v>
      </c>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2"/>
      <c r="O325" s="1372"/>
      <c r="P325" s="1372"/>
      <c r="Q325" s="1372"/>
      <c r="R325" s="1372"/>
      <c r="S325" s="3"/>
      <c r="T325" s="3" t="s">
        <v>76</v>
      </c>
      <c r="V325" s="3"/>
      <c r="W325" s="3"/>
      <c r="X325" s="3"/>
      <c r="Y325" s="3"/>
      <c r="AA325" s="1348" t="s">
        <v>2680</v>
      </c>
      <c r="AB325" s="1348"/>
      <c r="AC325" s="1348"/>
      <c r="AD325" s="1348"/>
      <c r="AE325" s="1348"/>
      <c r="AF325" s="1348"/>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2761</v>
      </c>
      <c r="I327" s="1372"/>
      <c r="J327" s="1372"/>
      <c r="K327" s="1372"/>
      <c r="L327" s="1372"/>
      <c r="M327" s="1372"/>
      <c r="N327" s="1372"/>
      <c r="O327" s="1372"/>
      <c r="P327" s="1372"/>
      <c r="Q327" s="1372"/>
      <c r="R327" s="1372"/>
      <c r="T327" s="3" t="s">
        <v>368</v>
      </c>
      <c r="V327" s="3"/>
      <c r="W327" s="3"/>
      <c r="X327" s="3"/>
      <c r="Y327" s="3"/>
      <c r="AA327" s="1372" t="s">
        <v>591</v>
      </c>
      <c r="AB327" s="1372"/>
      <c r="AC327" s="1372"/>
      <c r="AD327" s="1372"/>
      <c r="AE327" s="1372"/>
      <c r="AF327" s="1372"/>
      <c r="AG327" s="1372"/>
      <c r="AH327" s="1372"/>
      <c r="AI327" s="1372"/>
      <c r="AJ327" s="1372"/>
      <c r="AK327" s="1372"/>
    </row>
    <row r="328" spans="2:37" ht="13" customHeight="1">
      <c r="B328" s="3" t="s">
        <v>471</v>
      </c>
      <c r="C328" s="3"/>
      <c r="D328" s="3"/>
      <c r="E328" s="3"/>
      <c r="F328" s="3"/>
      <c r="H328" s="1348" t="s">
        <v>2762</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3" customHeight="1">
      <c r="B329" s="3" t="s">
        <v>472</v>
      </c>
      <c r="C329" s="3"/>
      <c r="D329" s="3"/>
      <c r="E329" s="3"/>
      <c r="F329" s="3"/>
      <c r="H329" s="1348" t="s">
        <v>2763</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3" customHeight="1">
      <c r="B330" s="3" t="s">
        <v>87</v>
      </c>
      <c r="C330" s="3"/>
      <c r="D330" s="3"/>
      <c r="E330" s="3"/>
      <c r="F330" s="3"/>
      <c r="H330" s="1348" t="s">
        <v>2764</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t="s">
        <v>2766</v>
      </c>
      <c r="I331" s="1424"/>
      <c r="J331" s="1424"/>
      <c r="K331" s="1424"/>
      <c r="L331" s="1424"/>
      <c r="M331" s="1424"/>
      <c r="N331" s="4" t="s">
        <v>206</v>
      </c>
      <c r="O331" s="4"/>
      <c r="P331" s="1417"/>
      <c r="Q331" s="1417"/>
      <c r="R331" s="1417"/>
      <c r="S331" s="3"/>
      <c r="T331" s="3" t="s">
        <v>88</v>
      </c>
      <c r="V331" s="3"/>
      <c r="W331" s="3"/>
      <c r="X331" s="3"/>
      <c r="Y331" s="3"/>
      <c r="AA331" s="1424"/>
      <c r="AB331" s="1424"/>
      <c r="AC331" s="1424"/>
      <c r="AD331" s="1424"/>
      <c r="AE331" s="1424"/>
      <c r="AF331" s="1424"/>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t="s">
        <v>2765</v>
      </c>
      <c r="I333" s="1348"/>
      <c r="J333" s="1348"/>
      <c r="K333" s="1348"/>
      <c r="L333" s="1348"/>
      <c r="M333" s="1348"/>
      <c r="N333" s="1372"/>
      <c r="O333" s="1372"/>
      <c r="P333" s="1372"/>
      <c r="Q333" s="1372"/>
      <c r="R333" s="1372"/>
      <c r="S333" s="3"/>
      <c r="T333" s="3" t="s">
        <v>76</v>
      </c>
      <c r="V333" s="3"/>
      <c r="W333" s="3"/>
      <c r="X333" s="3"/>
      <c r="Y333" s="3"/>
      <c r="AA333" s="1348"/>
      <c r="AB333" s="1348"/>
      <c r="AC333" s="1348"/>
      <c r="AD333" s="1348"/>
      <c r="AE333" s="1348"/>
      <c r="AF333" s="1348"/>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2687</v>
      </c>
      <c r="I335" s="1372"/>
      <c r="J335" s="1372"/>
      <c r="K335" s="1372"/>
      <c r="L335" s="1372"/>
      <c r="M335" s="1372"/>
      <c r="N335" s="1372"/>
      <c r="O335" s="1372"/>
      <c r="P335" s="1372"/>
      <c r="Q335" s="1372"/>
      <c r="R335" s="1372"/>
      <c r="T335" s="205" t="s">
        <v>886</v>
      </c>
      <c r="V335" s="3"/>
      <c r="W335" s="3"/>
      <c r="X335" s="3"/>
      <c r="Y335" s="3"/>
      <c r="AA335" s="1372" t="s">
        <v>2694</v>
      </c>
      <c r="AB335" s="1372"/>
      <c r="AC335" s="1372"/>
      <c r="AD335" s="1372"/>
      <c r="AE335" s="1372"/>
      <c r="AF335" s="1372"/>
      <c r="AG335" s="1372"/>
      <c r="AH335" s="1372"/>
      <c r="AI335" s="1372"/>
      <c r="AJ335" s="1372"/>
      <c r="AK335" s="1372"/>
    </row>
    <row r="336" spans="2:37" ht="13" customHeight="1">
      <c r="B336" s="3" t="s">
        <v>471</v>
      </c>
      <c r="C336" s="3"/>
      <c r="D336" s="3"/>
      <c r="E336" s="3"/>
      <c r="F336" s="3"/>
      <c r="H336" s="1348" t="s">
        <v>2688</v>
      </c>
      <c r="I336" s="1348"/>
      <c r="J336" s="1348"/>
      <c r="K336" s="1348"/>
      <c r="L336" s="1348"/>
      <c r="M336" s="1348"/>
      <c r="N336" s="1348"/>
      <c r="O336" s="1348"/>
      <c r="P336" s="1348"/>
      <c r="Q336" s="1348"/>
      <c r="R336" s="1348"/>
      <c r="T336" s="3" t="s">
        <v>471</v>
      </c>
      <c r="V336" s="3"/>
      <c r="W336" s="3"/>
      <c r="X336" s="3"/>
      <c r="Y336" s="3"/>
      <c r="AA336" s="1348" t="s">
        <v>2695</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2689</v>
      </c>
      <c r="I337" s="1348"/>
      <c r="J337" s="1348"/>
      <c r="K337" s="1348"/>
      <c r="L337" s="1348"/>
      <c r="M337" s="1348"/>
      <c r="N337" s="1348"/>
      <c r="O337" s="1348"/>
      <c r="P337" s="1348"/>
      <c r="Q337" s="1348"/>
      <c r="R337" s="1348"/>
      <c r="T337" s="3" t="s">
        <v>75</v>
      </c>
      <c r="V337" s="3"/>
      <c r="W337" s="3"/>
      <c r="X337" s="3"/>
      <c r="Y337" s="3"/>
      <c r="AA337" s="1348" t="s">
        <v>2696</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2690</v>
      </c>
      <c r="I338" s="1348"/>
      <c r="J338" s="1348"/>
      <c r="K338" s="1348"/>
      <c r="L338" s="1348"/>
      <c r="M338" s="1348"/>
      <c r="N338" s="1348"/>
      <c r="O338" s="1348"/>
      <c r="P338" s="1348"/>
      <c r="Q338" s="1348"/>
      <c r="R338" s="1348"/>
      <c r="T338" s="3" t="s">
        <v>87</v>
      </c>
      <c r="V338" s="3"/>
      <c r="W338" s="3"/>
      <c r="X338" s="3"/>
      <c r="Y338" s="3"/>
      <c r="AA338" s="1348" t="s">
        <v>2697</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t="s">
        <v>2691</v>
      </c>
      <c r="I339" s="1424"/>
      <c r="J339" s="1424"/>
      <c r="K339" s="1424"/>
      <c r="L339" s="1424"/>
      <c r="M339" s="1424"/>
      <c r="N339" s="4" t="s">
        <v>206</v>
      </c>
      <c r="O339" s="4"/>
      <c r="P339" s="1417"/>
      <c r="Q339" s="1417"/>
      <c r="R339" s="1417"/>
      <c r="S339" s="3"/>
      <c r="T339" s="3" t="s">
        <v>88</v>
      </c>
      <c r="V339" s="3"/>
      <c r="W339" s="3"/>
      <c r="X339" s="3"/>
      <c r="Y339" s="3"/>
      <c r="AA339" s="1423" t="s">
        <v>2698</v>
      </c>
      <c r="AB339" s="1424"/>
      <c r="AC339" s="1424"/>
      <c r="AD339" s="1424"/>
      <c r="AE339" s="1424"/>
      <c r="AF339" s="1424"/>
      <c r="AG339" s="4" t="s">
        <v>206</v>
      </c>
      <c r="AH339" s="4"/>
      <c r="AI339" s="1417"/>
      <c r="AJ339" s="1417"/>
      <c r="AK339" s="1417"/>
    </row>
    <row r="340" spans="1:66" ht="13" customHeight="1">
      <c r="B340" s="3" t="s">
        <v>89</v>
      </c>
      <c r="C340" s="3"/>
      <c r="D340" s="3"/>
      <c r="E340" s="3"/>
      <c r="F340" s="3"/>
      <c r="G340" s="3"/>
      <c r="H340" s="1345" t="s">
        <v>2692</v>
      </c>
      <c r="I340" s="1346"/>
      <c r="J340" s="1346"/>
      <c r="K340" s="1346"/>
      <c r="L340" s="1346"/>
      <c r="M340" s="1346"/>
      <c r="N340" s="4"/>
      <c r="O340" s="4"/>
      <c r="P340" s="35"/>
      <c r="Q340" s="35"/>
      <c r="R340" s="35"/>
      <c r="S340" s="3"/>
      <c r="T340" s="3" t="s">
        <v>89</v>
      </c>
      <c r="V340" s="3"/>
      <c r="W340" s="3"/>
      <c r="X340" s="3"/>
      <c r="Y340" s="3"/>
      <c r="AA340" s="1345" t="s">
        <v>2699</v>
      </c>
      <c r="AB340" s="1346"/>
      <c r="AC340" s="1346"/>
      <c r="AD340" s="1346"/>
      <c r="AE340" s="1346"/>
      <c r="AF340" s="1346"/>
      <c r="AG340" s="4"/>
      <c r="AH340" s="4"/>
      <c r="AI340" s="35"/>
      <c r="AJ340" s="35"/>
      <c r="AK340" s="35"/>
    </row>
    <row r="341" spans="1:66" ht="13" customHeight="1">
      <c r="B341" s="3" t="s">
        <v>76</v>
      </c>
      <c r="C341" s="3"/>
      <c r="D341" s="3"/>
      <c r="E341" s="3"/>
      <c r="F341" s="3"/>
      <c r="G341" s="3"/>
      <c r="H341" s="1348" t="s">
        <v>2693</v>
      </c>
      <c r="I341" s="1348"/>
      <c r="J341" s="1348"/>
      <c r="K341" s="1348"/>
      <c r="L341" s="1348"/>
      <c r="M341" s="1348"/>
      <c r="N341" s="1372"/>
      <c r="O341" s="1372"/>
      <c r="P341" s="1372"/>
      <c r="Q341" s="1372"/>
      <c r="R341" s="1372"/>
      <c r="S341" s="3"/>
      <c r="T341" s="3" t="s">
        <v>76</v>
      </c>
      <c r="V341" s="3"/>
      <c r="W341" s="3"/>
      <c r="X341" s="3"/>
      <c r="Y341" s="3"/>
      <c r="AA341" s="1348" t="s">
        <v>2700</v>
      </c>
      <c r="AB341" s="1348"/>
      <c r="AC341" s="1348"/>
      <c r="AD341" s="1348"/>
      <c r="AE341" s="1348"/>
      <c r="AF341" s="1348"/>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372" t="s">
        <v>591</v>
      </c>
      <c r="Q343" s="1372"/>
      <c r="R343" s="1372"/>
      <c r="S343" s="1372"/>
      <c r="T343" s="1372"/>
      <c r="U343" s="1372"/>
      <c r="V343" s="1372"/>
      <c r="W343" s="1372"/>
      <c r="X343" s="1372"/>
      <c r="Y343" s="1372"/>
      <c r="Z343" s="1372"/>
      <c r="AA343" s="1372"/>
      <c r="AB343" s="1372"/>
      <c r="AC343" s="1372"/>
      <c r="AD343" s="1372"/>
      <c r="AE343" s="1372"/>
      <c r="BN343" t="s">
        <v>669</v>
      </c>
    </row>
    <row r="344" spans="1:66" ht="13"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8"/>
      <c r="AD347" s="1438"/>
      <c r="AE347" s="1438"/>
      <c r="AF347" s="303"/>
      <c r="AG347" s="4"/>
      <c r="AH347" s="4"/>
      <c r="AI347" s="4"/>
      <c r="AJ347" s="4"/>
      <c r="AK347" s="4"/>
    </row>
    <row r="348" spans="1:66" ht="13"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2100</v>
      </c>
      <c r="M355" s="1331" t="s">
        <v>545</v>
      </c>
      <c r="N355" s="1331"/>
      <c r="P355" t="s">
        <v>1650</v>
      </c>
      <c r="AJ355" s="1331" t="s">
        <v>669</v>
      </c>
      <c r="AK355" s="1331"/>
    </row>
    <row r="356" spans="1:46" ht="13" customHeight="1">
      <c r="D356" s="3" t="s">
        <v>1639</v>
      </c>
      <c r="M356" s="1331" t="s">
        <v>591</v>
      </c>
      <c r="N356" s="1331"/>
      <c r="P356" s="3" t="s">
        <v>1719</v>
      </c>
      <c r="AJ356" s="1448"/>
      <c r="AK356" s="1448"/>
    </row>
    <row r="357" spans="1:46" ht="13" customHeight="1">
      <c r="D357" s="3" t="s">
        <v>704</v>
      </c>
      <c r="M357" s="1331" t="s">
        <v>591</v>
      </c>
      <c r="N357" s="1331"/>
      <c r="P357" t="s">
        <v>1649</v>
      </c>
      <c r="AJ357" s="1331" t="s">
        <v>591</v>
      </c>
      <c r="AK357" s="1331"/>
    </row>
    <row r="358" spans="1:46" ht="13" customHeight="1">
      <c r="D358" s="3" t="s">
        <v>705</v>
      </c>
      <c r="M358" s="1331" t="s">
        <v>591</v>
      </c>
      <c r="N358" s="133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3" customHeight="1">
      <c r="E364" t="s">
        <v>370</v>
      </c>
      <c r="Y364" s="1331" t="s">
        <v>591</v>
      </c>
      <c r="Z364" s="1331"/>
    </row>
    <row r="365" spans="1:46" ht="13"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3"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813"/>
      <c r="T377" s="1813"/>
      <c r="U377" s="1" t="s">
        <v>306</v>
      </c>
      <c r="V377" s="1813"/>
      <c r="W377" s="1813"/>
      <c r="Y377" t="s">
        <v>2081</v>
      </c>
      <c r="AC377" s="27" t="s">
        <v>305</v>
      </c>
      <c r="AD377" s="1813"/>
      <c r="AE377" s="1813"/>
      <c r="AF377" s="1" t="s">
        <v>306</v>
      </c>
      <c r="AG377" s="1813"/>
      <c r="AH377" s="1813"/>
    </row>
    <row r="378" spans="1:34" ht="13" customHeight="1">
      <c r="E378" s="4" t="s">
        <v>987</v>
      </c>
      <c r="F378" s="4"/>
      <c r="G378" s="4"/>
      <c r="H378" s="4"/>
      <c r="I378" s="4"/>
      <c r="J378" s="4"/>
      <c r="K378" s="4"/>
      <c r="L378" s="4"/>
      <c r="N378" s="1813"/>
      <c r="O378" s="1813"/>
      <c r="P378" s="1813"/>
    </row>
    <row r="379" spans="1:34" ht="13" customHeight="1">
      <c r="E379" s="205" t="s">
        <v>2087</v>
      </c>
      <c r="F379" s="4"/>
      <c r="G379" s="4"/>
      <c r="H379" s="4"/>
      <c r="I379" s="4"/>
      <c r="J379" s="4"/>
      <c r="K379" s="4"/>
      <c r="L379" s="4"/>
      <c r="AG379" s="1801" t="s">
        <v>591</v>
      </c>
      <c r="AH379" s="1801"/>
    </row>
    <row r="380" spans="1:34" ht="13" customHeight="1">
      <c r="E380" s="4"/>
      <c r="F380" s="4"/>
      <c r="G380" s="4" t="s">
        <v>2088</v>
      </c>
      <c r="H380" s="4"/>
      <c r="I380" s="4"/>
      <c r="J380" s="4"/>
      <c r="K380" s="4"/>
      <c r="L380" s="4"/>
      <c r="AG380" s="1801" t="s">
        <v>591</v>
      </c>
      <c r="AH380" s="1801"/>
    </row>
    <row r="381" spans="1:34" ht="13" customHeight="1">
      <c r="E381" s="4"/>
      <c r="F381" s="4"/>
      <c r="G381" s="321" t="s">
        <v>988</v>
      </c>
      <c r="H381" s="4"/>
      <c r="I381" s="4"/>
      <c r="J381" s="4"/>
      <c r="K381" s="4"/>
      <c r="L381" s="4"/>
      <c r="V381" s="1331" t="s">
        <v>591</v>
      </c>
      <c r="W381" s="1331"/>
      <c r="Y381" s="22" t="s">
        <v>980</v>
      </c>
    </row>
    <row r="382" spans="1:34" ht="13" customHeight="1">
      <c r="E382" s="4" t="s">
        <v>981</v>
      </c>
      <c r="F382" s="4"/>
      <c r="G382" s="4"/>
      <c r="H382" s="4"/>
      <c r="I382" s="4"/>
      <c r="J382" s="4"/>
      <c r="K382" s="4"/>
      <c r="L382" s="4"/>
      <c r="V382" s="1331" t="s">
        <v>591</v>
      </c>
      <c r="W382" s="1331"/>
      <c r="Y382" s="4" t="s">
        <v>982</v>
      </c>
    </row>
    <row r="383" spans="1:34" ht="13" customHeight="1"/>
    <row r="384" spans="1:34" ht="13" customHeight="1">
      <c r="A384" s="2" t="s">
        <v>78</v>
      </c>
      <c r="B384" s="2"/>
    </row>
    <row r="385" spans="4:36" ht="13" customHeight="1">
      <c r="D385" t="s">
        <v>428</v>
      </c>
      <c r="J385" s="1372" t="s">
        <v>2701</v>
      </c>
      <c r="K385" s="1372"/>
      <c r="L385" s="1372"/>
      <c r="M385" s="1372"/>
      <c r="N385" s="1372"/>
      <c r="O385" s="1372"/>
      <c r="P385" s="1372"/>
      <c r="Q385" s="1372"/>
      <c r="R385" s="1372"/>
      <c r="S385" s="1372"/>
      <c r="T385" s="1372"/>
      <c r="U385" s="1372"/>
      <c r="V385" s="8" t="s">
        <v>83</v>
      </c>
      <c r="W385" s="8"/>
      <c r="X385" s="8"/>
      <c r="Y385" s="8"/>
      <c r="Z385" s="8"/>
      <c r="AA385" s="8"/>
      <c r="AB385" s="8"/>
      <c r="AC385" s="1372" t="s">
        <v>2702</v>
      </c>
      <c r="AD385" s="1372"/>
      <c r="AE385" s="1372"/>
      <c r="AF385" s="1372"/>
      <c r="AG385" s="1372"/>
      <c r="AH385" s="1372"/>
      <c r="AI385" s="1372"/>
      <c r="AJ385" s="1372"/>
    </row>
    <row r="386" spans="4:36" ht="13" customHeight="1">
      <c r="D386" s="3" t="s">
        <v>1182</v>
      </c>
      <c r="J386" s="1348" t="s">
        <v>2702</v>
      </c>
      <c r="K386" s="1348"/>
      <c r="L386" s="1348"/>
      <c r="M386" s="1348"/>
      <c r="N386" s="1348"/>
      <c r="O386" s="1348"/>
      <c r="P386" s="1348"/>
      <c r="Q386" s="1348"/>
      <c r="R386" s="1348"/>
      <c r="S386" s="1348"/>
      <c r="T386" s="1348"/>
      <c r="U386" s="1348"/>
      <c r="V386" s="3" t="s">
        <v>1182</v>
      </c>
      <c r="W386" s="8"/>
      <c r="X386" s="8"/>
      <c r="Y386" s="8"/>
      <c r="Z386" s="8"/>
      <c r="AA386" s="8"/>
      <c r="AB386" s="8"/>
      <c r="AC386" s="1372"/>
      <c r="AD386" s="1372"/>
      <c r="AE386" s="1372"/>
      <c r="AF386" s="1372"/>
      <c r="AG386" s="1372"/>
      <c r="AH386" s="1372"/>
      <c r="AI386" s="1372"/>
      <c r="AJ386" s="1372"/>
    </row>
    <row r="387" spans="4:36" ht="13" customHeight="1">
      <c r="D387" s="3" t="s">
        <v>441</v>
      </c>
      <c r="J387" s="1348" t="s">
        <v>2703</v>
      </c>
      <c r="K387" s="1348"/>
      <c r="L387" s="1348"/>
      <c r="M387" s="1348"/>
      <c r="N387" s="1348"/>
      <c r="O387" s="1348"/>
      <c r="P387" s="1348"/>
      <c r="Q387" s="1348"/>
      <c r="R387" s="1348"/>
      <c r="S387" s="1348"/>
      <c r="T387" s="1348"/>
      <c r="U387" s="1348"/>
      <c r="V387" s="3" t="s">
        <v>441</v>
      </c>
      <c r="W387" s="8"/>
      <c r="X387" s="8"/>
      <c r="Y387" s="8"/>
      <c r="Z387" s="8"/>
      <c r="AA387" s="8"/>
      <c r="AB387" s="8"/>
      <c r="AC387" s="1372"/>
      <c r="AD387" s="1372"/>
      <c r="AE387" s="1372"/>
      <c r="AF387" s="1372"/>
      <c r="AG387" s="1372"/>
      <c r="AH387" s="1372"/>
      <c r="AI387" s="1372"/>
      <c r="AJ387" s="1372"/>
    </row>
    <row r="388" spans="4:36" ht="13" customHeight="1">
      <c r="D388" t="s">
        <v>1178</v>
      </c>
      <c r="J388" s="1403" t="s">
        <v>2704</v>
      </c>
      <c r="K388" s="1403"/>
      <c r="L388" s="1403"/>
      <c r="M388" s="1403"/>
      <c r="N388" s="1403"/>
      <c r="O388" s="1403"/>
      <c r="P388" s="1403"/>
      <c r="Q388" s="1403"/>
      <c r="R388" s="1403"/>
      <c r="S388" s="1403"/>
      <c r="T388" s="1403"/>
      <c r="U388" s="1403"/>
      <c r="V388" s="1372" t="s">
        <v>2705</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3">
        <v>44610</v>
      </c>
      <c r="R389" s="1753"/>
      <c r="S389" s="1753"/>
      <c r="T389" s="1753"/>
      <c r="U389" s="1753"/>
      <c r="V389" t="s">
        <v>309</v>
      </c>
      <c r="AI389" s="1331" t="s">
        <v>669</v>
      </c>
      <c r="AJ389" s="1331"/>
    </row>
    <row r="390" spans="4:36" ht="13" customHeight="1">
      <c r="D390" t="s">
        <v>5</v>
      </c>
      <c r="Q390" s="1536">
        <v>44608</v>
      </c>
      <c r="R390" s="1822"/>
      <c r="S390" s="1822"/>
      <c r="T390" s="1822"/>
      <c r="U390" s="1822"/>
      <c r="W390" s="21" t="s">
        <v>74</v>
      </c>
      <c r="AG390" s="1815"/>
      <c r="AH390" s="1815"/>
      <c r="AI390" s="1815"/>
      <c r="AJ390" s="1815"/>
    </row>
    <row r="391" spans="4:36" ht="13" customHeight="1">
      <c r="D391" t="s">
        <v>427</v>
      </c>
      <c r="Q391" s="1835">
        <v>1995000</v>
      </c>
      <c r="R391" s="1835"/>
      <c r="S391" s="1835"/>
      <c r="T391" s="1835"/>
      <c r="U391" s="1835"/>
      <c r="V391" s="3" t="s">
        <v>1181</v>
      </c>
      <c r="AG391" s="1816">
        <v>44973</v>
      </c>
      <c r="AH391" s="1816"/>
      <c r="AI391" s="1816"/>
      <c r="AJ391" s="1816"/>
    </row>
    <row r="392" spans="4:36" ht="13" customHeight="1">
      <c r="D392" t="s">
        <v>88</v>
      </c>
      <c r="I392" s="1423" t="s">
        <v>2706</v>
      </c>
      <c r="J392" s="1424"/>
      <c r="K392" s="1424"/>
      <c r="L392" s="1424"/>
      <c r="M392" s="1424"/>
      <c r="N392" s="1424"/>
      <c r="Q392" s="4" t="s">
        <v>206</v>
      </c>
      <c r="S392" s="1834"/>
      <c r="T392" s="1834"/>
      <c r="U392" s="1834"/>
      <c r="V392" t="s">
        <v>73</v>
      </c>
      <c r="AI392" s="1331" t="s">
        <v>669</v>
      </c>
      <c r="AJ392" s="1331"/>
    </row>
    <row r="393" spans="4:36" ht="13" customHeight="1">
      <c r="D393" t="s">
        <v>310</v>
      </c>
      <c r="Q393" s="1409">
        <v>15124</v>
      </c>
      <c r="R393" s="1409"/>
      <c r="S393" s="1409"/>
      <c r="T393" s="1409"/>
      <c r="U393" s="1409"/>
      <c r="V393" t="s">
        <v>311</v>
      </c>
      <c r="AG393" s="1815">
        <v>485819</v>
      </c>
      <c r="AH393" s="1815"/>
      <c r="AI393" s="1815"/>
      <c r="AJ393" s="1815"/>
    </row>
    <row r="394" spans="4:36" ht="13" customHeight="1">
      <c r="D394" t="s">
        <v>312</v>
      </c>
      <c r="Q394" s="1757">
        <v>1.2E-2</v>
      </c>
      <c r="R394" s="1757"/>
      <c r="S394" s="1757"/>
      <c r="T394" s="1757"/>
      <c r="U394" s="1757"/>
      <c r="V394" t="s">
        <v>1163</v>
      </c>
      <c r="AG394" s="1815">
        <v>0</v>
      </c>
      <c r="AH394" s="1815"/>
      <c r="AI394" s="1815"/>
      <c r="AJ394" s="1815"/>
    </row>
    <row r="395" spans="4:36" ht="13" customHeight="1">
      <c r="D395" t="s">
        <v>1162</v>
      </c>
      <c r="AG395" s="1815">
        <v>0</v>
      </c>
      <c r="AH395" s="1815"/>
      <c r="AI395" s="1815"/>
      <c r="AJ395" s="1815"/>
    </row>
    <row r="396" spans="4:36" ht="13" customHeight="1">
      <c r="AG396" s="457"/>
      <c r="AH396" s="457"/>
      <c r="AI396" s="457"/>
      <c r="AJ396" s="457"/>
    </row>
    <row r="397" spans="4:36" ht="13" customHeight="1">
      <c r="D397" s="3" t="s">
        <v>2144</v>
      </c>
      <c r="AG397" s="457"/>
      <c r="AH397" s="457"/>
      <c r="AI397" s="1331" t="s">
        <v>669</v>
      </c>
      <c r="AJ397" s="1331"/>
    </row>
    <row r="398" spans="4:36" ht="13"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3"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3" customHeight="1">
      <c r="AG400" s="457"/>
      <c r="AH400" s="457"/>
      <c r="AI400" s="457"/>
      <c r="AJ400" s="457"/>
    </row>
    <row r="401" spans="1:36" ht="13" customHeight="1">
      <c r="D401" s="3" t="s">
        <v>1660</v>
      </c>
      <c r="S401" s="1752" t="s">
        <v>669</v>
      </c>
      <c r="T401" s="1752"/>
      <c r="U401" s="1752"/>
      <c r="V401" t="s">
        <v>1661</v>
      </c>
      <c r="AG401" s="1824"/>
      <c r="AH401" s="1824"/>
      <c r="AI401" s="1824"/>
      <c r="AJ401" s="1824"/>
    </row>
    <row r="402" spans="1:36" ht="13" customHeight="1">
      <c r="D402" s="3" t="s">
        <v>1658</v>
      </c>
      <c r="S402" s="1752" t="s">
        <v>591</v>
      </c>
      <c r="T402" s="1752"/>
      <c r="U402" s="1752"/>
      <c r="V402" t="s">
        <v>1663</v>
      </c>
      <c r="AE402" s="1814"/>
      <c r="AF402" s="1814"/>
      <c r="AG402" s="1814"/>
      <c r="AH402" s="1814"/>
      <c r="AI402" s="1814"/>
      <c r="AJ402" s="1814"/>
    </row>
    <row r="403" spans="1:36" ht="13" customHeight="1">
      <c r="D403" s="3" t="s">
        <v>1659</v>
      </c>
      <c r="K403" s="1793"/>
      <c r="L403" s="1793"/>
      <c r="M403" s="1793"/>
      <c r="N403" s="1793"/>
      <c r="O403" s="1793"/>
      <c r="P403" s="1793"/>
      <c r="Q403" s="1793"/>
      <c r="R403" s="1793"/>
      <c r="S403" s="1793"/>
      <c r="T403" s="1793"/>
      <c r="U403" s="1793"/>
      <c r="V403" s="1793"/>
      <c r="W403" s="1793"/>
      <c r="X403" s="1793"/>
      <c r="Y403" s="1793"/>
      <c r="Z403" s="1793"/>
      <c r="AA403" s="1793"/>
      <c r="AB403" s="1793"/>
      <c r="AC403" s="1793"/>
      <c r="AD403" s="1793"/>
      <c r="AE403" s="1793"/>
      <c r="AF403" s="1793"/>
      <c r="AG403" s="1793"/>
      <c r="AH403" s="1793"/>
      <c r="AI403" s="1793"/>
      <c r="AJ403" s="1793"/>
    </row>
    <row r="404" spans="1:36" ht="13" customHeight="1">
      <c r="D404" s="3" t="s">
        <v>1662</v>
      </c>
      <c r="K404" s="1793"/>
      <c r="L404" s="1793"/>
      <c r="M404" s="1793"/>
      <c r="N404" s="1793"/>
      <c r="O404" s="1793"/>
      <c r="P404" s="1793"/>
      <c r="Q404" s="1793"/>
      <c r="R404" s="1793"/>
      <c r="S404" s="1793"/>
      <c r="T404" s="1793"/>
      <c r="U404" s="1793"/>
      <c r="V404" s="1793"/>
      <c r="W404" s="1793"/>
      <c r="X404" s="1793"/>
      <c r="Y404" s="1793"/>
      <c r="Z404" s="1793"/>
      <c r="AA404" s="1793"/>
      <c r="AB404" s="1793"/>
      <c r="AC404" s="1793"/>
      <c r="AD404" s="1793"/>
      <c r="AE404" s="1793"/>
      <c r="AF404" s="1793"/>
      <c r="AG404" s="1793"/>
      <c r="AH404" s="1793"/>
      <c r="AI404" s="1793"/>
      <c r="AJ404" s="1793"/>
    </row>
    <row r="405" spans="1:36" ht="13" customHeight="1">
      <c r="D405" s="3" t="s">
        <v>1665</v>
      </c>
      <c r="E405" s="478"/>
      <c r="F405" s="478"/>
      <c r="G405" s="478"/>
      <c r="H405" s="478"/>
      <c r="I405" s="478"/>
      <c r="J405" s="478"/>
      <c r="K405" s="478"/>
      <c r="L405" s="478"/>
      <c r="M405" s="478"/>
      <c r="N405" s="478"/>
      <c r="O405" s="478"/>
      <c r="P405" s="478"/>
      <c r="Q405" s="478"/>
      <c r="R405" s="478"/>
      <c r="S405" s="1833" t="s">
        <v>2707</v>
      </c>
      <c r="T405" s="1833"/>
      <c r="U405" s="1833"/>
      <c r="V405" s="1833"/>
      <c r="W405" s="1833"/>
      <c r="X405" s="1833"/>
      <c r="Y405" s="1833"/>
      <c r="Z405" s="1833"/>
      <c r="AA405" s="1833"/>
      <c r="AB405" s="1833"/>
      <c r="AC405" s="1833"/>
      <c r="AD405" s="1833"/>
      <c r="AE405" s="1833"/>
      <c r="AF405" s="1833"/>
      <c r="AG405" s="1833"/>
      <c r="AH405" s="1833"/>
      <c r="AI405" s="1833"/>
      <c r="AJ405" s="1833"/>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371" t="s">
        <v>2708</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3" customHeight="1">
      <c r="E411" t="s">
        <v>106</v>
      </c>
      <c r="R411" s="1331" t="s">
        <v>545</v>
      </c>
      <c r="S411" s="1331"/>
      <c r="AC411" s="27" t="s">
        <v>570</v>
      </c>
      <c r="AD411" s="1664">
        <v>3</v>
      </c>
      <c r="AE411" s="1664"/>
    </row>
    <row r="412" spans="1:36" ht="13" customHeight="1">
      <c r="E412" t="s">
        <v>107</v>
      </c>
      <c r="R412" s="1331" t="s">
        <v>591</v>
      </c>
      <c r="S412" s="1331"/>
      <c r="AC412" s="27" t="s">
        <v>570</v>
      </c>
      <c r="AD412" s="1664"/>
      <c r="AE412" s="1664"/>
    </row>
    <row r="413" spans="1:36" ht="13" customHeight="1">
      <c r="E413" t="s">
        <v>108</v>
      </c>
      <c r="S413" s="1331" t="s">
        <v>591</v>
      </c>
      <c r="T413" s="1331"/>
    </row>
    <row r="414" spans="1:36" ht="13" customHeight="1">
      <c r="E414" t="s">
        <v>170</v>
      </c>
      <c r="H414" s="1758" t="s">
        <v>2709</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590</v>
      </c>
      <c r="B417" s="2"/>
      <c r="C417" s="2"/>
      <c r="D417" s="2" t="s">
        <v>114</v>
      </c>
      <c r="AF417" s="2" t="s">
        <v>957</v>
      </c>
    </row>
    <row r="418" spans="1:39" ht="13" customHeight="1">
      <c r="E418" s="1813"/>
      <c r="F418" s="1813"/>
      <c r="G418" s="1813"/>
      <c r="H418" s="13" t="s">
        <v>115</v>
      </c>
      <c r="I418" s="1813"/>
      <c r="J418" s="1813"/>
      <c r="K418" s="1813"/>
      <c r="L418" t="s">
        <v>116</v>
      </c>
      <c r="N418" s="27" t="s">
        <v>575</v>
      </c>
      <c r="P418" s="1761">
        <v>2.85</v>
      </c>
      <c r="Q418" s="1761"/>
      <c r="R418" s="1761"/>
      <c r="S418" t="s">
        <v>117</v>
      </c>
      <c r="W418" s="1832">
        <f>IF(E418&gt;0,(E418*I418),(P418*43560))</f>
        <v>124146</v>
      </c>
      <c r="X418" s="1832"/>
      <c r="Y418" s="1832"/>
      <c r="Z418" t="s">
        <v>118</v>
      </c>
      <c r="AF418" s="1762">
        <f>IFERROR(IF(P418&gt;0,(AG437/P418),(AG437/(W418/43560))),0)</f>
        <v>22.456140350877192</v>
      </c>
      <c r="AG418" s="1762"/>
      <c r="AH418" s="1762"/>
      <c r="AM418" s="3"/>
    </row>
    <row r="419" spans="1:39" ht="13" customHeight="1">
      <c r="E419" t="s">
        <v>51</v>
      </c>
    </row>
    <row r="420" spans="1:39" ht="13" customHeight="1">
      <c r="E420" s="1825" t="s">
        <v>2710</v>
      </c>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1736</v>
      </c>
      <c r="F421" s="1014"/>
      <c r="G421" s="1014"/>
      <c r="H421" s="1014"/>
      <c r="I421" s="1760">
        <v>2.85</v>
      </c>
      <c r="J421" s="1760"/>
      <c r="K421" s="1760"/>
      <c r="L421" s="1014"/>
      <c r="M421" s="118"/>
      <c r="N421" s="1014"/>
      <c r="O421" s="1014"/>
      <c r="P421" s="1442">
        <f>(DU755+DU778+DU800)/I421</f>
        <v>45.614035087719294</v>
      </c>
      <c r="Q421" s="1442"/>
      <c r="R421" s="1442"/>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331">
        <v>1</v>
      </c>
      <c r="Q424" s="1331"/>
      <c r="S424" t="s">
        <v>189</v>
      </c>
      <c r="AE424" s="1331">
        <v>1</v>
      </c>
      <c r="AF424" s="1331"/>
    </row>
    <row r="425" spans="1:39" ht="13" customHeight="1">
      <c r="E425" t="s">
        <v>190</v>
      </c>
      <c r="P425" s="1331">
        <v>0</v>
      </c>
      <c r="Q425" s="1331"/>
      <c r="S425" t="s">
        <v>131</v>
      </c>
      <c r="AE425" s="1331" t="s">
        <v>545</v>
      </c>
      <c r="AF425" s="1331"/>
    </row>
    <row r="426" spans="1:39" ht="13" customHeight="1">
      <c r="F426" s="28" t="s">
        <v>132</v>
      </c>
    </row>
    <row r="427" spans="1:39" ht="13" customHeight="1">
      <c r="F427" s="1799" t="s">
        <v>2775</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3"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3" customHeight="1">
      <c r="E429" t="s">
        <v>608</v>
      </c>
      <c r="P429" s="1"/>
      <c r="Q429" s="1331" t="s">
        <v>545</v>
      </c>
      <c r="R429" s="1331"/>
    </row>
    <row r="430" spans="1:39" ht="13" customHeight="1">
      <c r="F430" t="s">
        <v>609</v>
      </c>
      <c r="P430" s="1"/>
      <c r="Q430" s="1"/>
      <c r="AF430" s="1331" t="s">
        <v>591</v>
      </c>
      <c r="AG430" s="1827"/>
    </row>
    <row r="431" spans="1:39" ht="13" customHeight="1"/>
    <row r="432" spans="1:39" ht="13" customHeight="1">
      <c r="A432" s="2"/>
      <c r="B432" s="2"/>
      <c r="C432" s="2"/>
      <c r="E432" s="4" t="s">
        <v>308</v>
      </c>
      <c r="Z432" s="1331" t="s">
        <v>669</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3" customHeight="1"/>
    <row r="436" spans="1:55" ht="13" customHeight="1">
      <c r="A436" s="2" t="s">
        <v>467</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3">
        <v>64</v>
      </c>
      <c r="AH437" s="1823"/>
      <c r="AI437" s="1823"/>
      <c r="AJ437" s="1823"/>
    </row>
    <row r="438" spans="1:55" ht="13"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4"/>
      <c r="AI438" s="1614"/>
      <c r="AJ438" s="1614"/>
    </row>
    <row r="439" spans="1:55" ht="13"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3">
        <v>63</v>
      </c>
      <c r="AH439" s="1823"/>
      <c r="AI439" s="1823"/>
      <c r="AJ439" s="1823"/>
    </row>
    <row r="440" spans="1:55" ht="13"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3">
        <v>63</v>
      </c>
      <c r="AH440" s="1823"/>
      <c r="AI440" s="1823"/>
      <c r="AJ440" s="1823"/>
    </row>
    <row r="441" spans="1:55" ht="13"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3">
        <f>IF(ISERROR(AG440/AG439),0,AG440/AG439)</f>
        <v>1</v>
      </c>
      <c r="AH441" s="1803"/>
      <c r="AI441" s="1803"/>
      <c r="AJ441" s="1803"/>
    </row>
    <row r="442" spans="1:55" ht="13"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5">
        <v>65603</v>
      </c>
      <c r="AH442" s="1695"/>
      <c r="AI442" s="1695"/>
      <c r="AJ442" s="1695"/>
    </row>
    <row r="443" spans="1:55" ht="13"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5">
        <v>65603</v>
      </c>
      <c r="AH443" s="1695"/>
      <c r="AI443" s="1695"/>
      <c r="AJ443" s="1695"/>
    </row>
    <row r="444" spans="1:55" ht="13"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3">
        <f>IF(ISERROR(AG443/AG442),0,AG443/AG442)</f>
        <v>1</v>
      </c>
      <c r="AH444" s="1803"/>
      <c r="AI444" s="1803"/>
      <c r="AJ444" s="1803"/>
    </row>
    <row r="445" spans="1:55" ht="13"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3">
        <f>MIN(IF(AG441&gt;AG444,AG444,AG441),1)</f>
        <v>1</v>
      </c>
      <c r="AH445" s="1803"/>
      <c r="AI445" s="1803"/>
      <c r="AJ445" s="1803"/>
    </row>
    <row r="446" spans="1:55" ht="13" customHeight="1">
      <c r="D446" s="1744"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5">
        <v>3023</v>
      </c>
      <c r="AH446" s="1695"/>
      <c r="AI446" s="1695"/>
      <c r="AJ446" s="1695"/>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5">
        <v>2323</v>
      </c>
      <c r="AH447" s="1695"/>
      <c r="AI447" s="1695"/>
      <c r="AJ447" s="1695"/>
      <c r="AZ447" s="3"/>
      <c r="BA447" s="3"/>
      <c r="BB447" s="3"/>
      <c r="BC447" s="3"/>
    </row>
    <row r="448" spans="1:55" ht="13" customHeight="1">
      <c r="D448" s="1744"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5">
        <v>7275</v>
      </c>
      <c r="AH448" s="1695"/>
      <c r="AI448" s="1695"/>
      <c r="AJ448" s="1695"/>
      <c r="AZ448" s="3"/>
      <c r="BA448" s="3"/>
      <c r="BB448" s="3"/>
      <c r="BC448" s="3"/>
    </row>
    <row r="449" spans="1:55" ht="13" customHeight="1">
      <c r="D449" s="1744"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5">
        <v>0</v>
      </c>
      <c r="AH449" s="1695"/>
      <c r="AI449" s="1695"/>
      <c r="AJ449" s="1695"/>
      <c r="BB449" s="3"/>
      <c r="BC449" s="3"/>
    </row>
    <row r="450" spans="1:55" ht="13"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51">
        <f>AG442+AG446+AG448+AG449</f>
        <v>75901</v>
      </c>
      <c r="AH450" s="1851"/>
      <c r="AI450" s="1851"/>
      <c r="AJ450" s="1851"/>
      <c r="AZ450" s="3"/>
      <c r="BA450" s="3"/>
      <c r="BB450" s="3"/>
      <c r="BC450" s="3"/>
    </row>
    <row r="451" spans="1:55" ht="13"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671049.828125</v>
      </c>
      <c r="AD454" s="1810"/>
      <c r="AE454" s="1810"/>
      <c r="AF454" s="1810"/>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651019.921875</v>
      </c>
      <c r="AD455" s="1810"/>
      <c r="AE455" s="1810"/>
      <c r="AF455" s="1810"/>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598240.96875</v>
      </c>
      <c r="AD456" s="1810"/>
      <c r="AE456" s="1810"/>
      <c r="AF456" s="1810"/>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6"/>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2101</v>
      </c>
      <c r="E465" s="1755"/>
      <c r="F465" s="1755"/>
      <c r="G465" s="1755"/>
      <c r="H465" s="1755"/>
      <c r="I465" s="1755"/>
      <c r="J465" s="1755"/>
      <c r="K465" s="1755"/>
      <c r="L465" s="1755"/>
      <c r="M465" s="1755"/>
      <c r="N465" s="1755"/>
      <c r="O465" s="1755"/>
      <c r="P465" s="1755"/>
      <c r="Q465" s="1755"/>
      <c r="R465" s="1755"/>
      <c r="S465" s="1755"/>
      <c r="T465" s="1755"/>
      <c r="U465" s="1755"/>
      <c r="V465" s="1756"/>
      <c r="W465" s="1666">
        <v>0</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2192</v>
      </c>
      <c r="E472" s="1855"/>
      <c r="F472" s="1855"/>
      <c r="G472" s="1855"/>
      <c r="H472" s="1855"/>
      <c r="I472" s="1855"/>
      <c r="J472" s="1855"/>
      <c r="K472" s="1855"/>
      <c r="L472" s="1855"/>
      <c r="M472" s="1855"/>
      <c r="N472" s="1855"/>
      <c r="O472" s="1855"/>
      <c r="P472" s="1855"/>
      <c r="Q472" s="1855"/>
      <c r="R472" s="1855"/>
      <c r="S472" s="1855"/>
      <c r="T472" s="1855"/>
      <c r="U472" s="1855"/>
      <c r="V472" s="1856"/>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7" t="s">
        <v>1041</v>
      </c>
      <c r="H474" s="1698"/>
      <c r="I474" s="1698"/>
      <c r="J474" s="1698"/>
      <c r="K474" s="1698"/>
      <c r="L474" s="1698"/>
      <c r="M474" s="1698"/>
      <c r="N474" s="1698"/>
      <c r="O474" s="1698"/>
      <c r="P474" s="1698"/>
      <c r="Q474" s="1698"/>
      <c r="R474" s="1698"/>
      <c r="S474" s="1698"/>
      <c r="T474" s="1698"/>
      <c r="U474" s="1698"/>
      <c r="V474" s="1699"/>
      <c r="W474" s="1666">
        <v>64</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394</v>
      </c>
      <c r="C486" s="5"/>
      <c r="D486" s="5"/>
      <c r="E486" s="5"/>
      <c r="F486" s="5"/>
      <c r="G486" s="5"/>
      <c r="H486" s="5"/>
      <c r="I486" s="5"/>
      <c r="J486" s="5"/>
      <c r="K486" s="5"/>
      <c r="L486" s="5"/>
      <c r="M486" s="5"/>
      <c r="N486" s="5"/>
      <c r="O486" s="5"/>
      <c r="P486" s="5"/>
      <c r="Q486" s="1578" t="s">
        <v>2711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2712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2713</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3" customHeight="1">
      <c r="B489" s="1839" t="s">
        <v>397</v>
      </c>
      <c r="C489" s="1840"/>
      <c r="D489" s="1840"/>
      <c r="E489" s="1840"/>
      <c r="F489" s="1840"/>
      <c r="G489" s="1840"/>
      <c r="H489" s="1840"/>
      <c r="I489" s="1840"/>
      <c r="J489" s="1840"/>
      <c r="K489" s="1840"/>
      <c r="L489" s="1840"/>
      <c r="M489" s="1840"/>
      <c r="N489" s="1840"/>
      <c r="O489" s="1840"/>
      <c r="P489" s="1841"/>
      <c r="Q489" s="1845" t="s">
        <v>669</v>
      </c>
      <c r="R489" s="1846"/>
      <c r="S489" s="1817" t="s">
        <v>166</v>
      </c>
      <c r="T489" s="1818"/>
      <c r="U489" s="1818"/>
      <c r="V489" s="1818"/>
      <c r="W489" s="1818"/>
      <c r="X489" s="1818"/>
      <c r="Y489" s="1818"/>
      <c r="Z489" s="1818"/>
      <c r="AA489" s="1818"/>
      <c r="AB489" s="1818"/>
      <c r="AC489" s="1818"/>
      <c r="AD489" s="1818"/>
      <c r="AE489" s="1818"/>
      <c r="AF489" s="1818"/>
      <c r="AG489" s="1818"/>
      <c r="AH489" s="1818"/>
      <c r="AI489" s="1818"/>
      <c r="AJ489" s="1818"/>
      <c r="AK489" s="1819"/>
      <c r="AZ489" s="3"/>
      <c r="BA489" s="3"/>
      <c r="BB489" s="3"/>
      <c r="BC489" s="3"/>
    </row>
    <row r="490" spans="1:55" ht="13" customHeight="1">
      <c r="B490" s="1842"/>
      <c r="C490" s="1843"/>
      <c r="D490" s="1843"/>
      <c r="E490" s="1843"/>
      <c r="F490" s="1843"/>
      <c r="G490" s="1843"/>
      <c r="H490" s="1843"/>
      <c r="I490" s="1843"/>
      <c r="J490" s="1843"/>
      <c r="K490" s="1843"/>
      <c r="L490" s="1843"/>
      <c r="M490" s="1843"/>
      <c r="N490" s="1843"/>
      <c r="O490" s="1843"/>
      <c r="P490" s="1844"/>
      <c r="Q490" s="1847"/>
      <c r="R490" s="1848"/>
      <c r="S490" s="1820"/>
      <c r="T490" s="1800"/>
      <c r="U490" s="1800"/>
      <c r="V490" s="1800"/>
      <c r="W490" s="1800"/>
      <c r="X490" s="1800"/>
      <c r="Y490" s="1800"/>
      <c r="Z490" s="1800"/>
      <c r="AA490" s="1800"/>
      <c r="AB490" s="1800"/>
      <c r="AC490" s="1800"/>
      <c r="AD490" s="1800"/>
      <c r="AE490" s="1800"/>
      <c r="AF490" s="1800"/>
      <c r="AG490" s="1800"/>
      <c r="AH490" s="1800"/>
      <c r="AI490" s="1800"/>
      <c r="AJ490" s="1800"/>
      <c r="AK490" s="1821"/>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852" t="s">
        <v>669</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t="s">
        <v>2714</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t="s">
        <v>2715</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121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3" customHeight="1">
      <c r="B495" s="121" t="s">
        <v>1669</v>
      </c>
      <c r="C495" s="5"/>
      <c r="D495" s="5"/>
      <c r="E495" s="5"/>
      <c r="F495" s="5"/>
      <c r="G495" s="5"/>
      <c r="H495" s="5"/>
      <c r="I495" s="5"/>
      <c r="J495" s="5"/>
      <c r="K495" s="5"/>
      <c r="L495" s="5"/>
      <c r="M495" s="1447">
        <v>0</v>
      </c>
      <c r="N495" s="1448"/>
      <c r="O495" s="1448"/>
      <c r="P495" s="1449"/>
      <c r="Q495" s="121" t="s">
        <v>1670</v>
      </c>
      <c r="R495" s="5"/>
      <c r="S495" s="5"/>
      <c r="T495" s="5"/>
      <c r="U495" s="5"/>
      <c r="V495" s="5"/>
      <c r="W495" s="5"/>
      <c r="X495" s="5"/>
      <c r="Y495" s="5"/>
      <c r="Z495" s="5"/>
      <c r="AA495" s="5"/>
      <c r="AB495" s="5"/>
      <c r="AC495" s="5"/>
      <c r="AD495" s="5"/>
      <c r="AE495" s="5"/>
      <c r="AF495" s="5"/>
      <c r="AG495" s="5"/>
      <c r="AH495" s="1447">
        <v>121</v>
      </c>
      <c r="AI495" s="1448"/>
      <c r="AJ495" s="1448"/>
      <c r="AK495" s="1449"/>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7</v>
      </c>
      <c r="AD501" s="1664"/>
      <c r="AE501" s="1664"/>
      <c r="AF501" s="1664"/>
      <c r="AG501" s="13" t="s">
        <v>403</v>
      </c>
      <c r="AH501" s="1403">
        <v>2022</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403</v>
      </c>
      <c r="AH502" s="1403">
        <v>2023</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591</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410</v>
      </c>
      <c r="AC504" s="1663" t="s">
        <v>591</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411</v>
      </c>
      <c r="AC505" s="1663" t="s">
        <v>591</v>
      </c>
      <c r="AD505" s="1664"/>
      <c r="AE505" s="1664"/>
      <c r="AF505" s="1664"/>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412</v>
      </c>
      <c r="AC506" s="1663">
        <v>9</v>
      </c>
      <c r="AD506" s="1664"/>
      <c r="AE506" s="1664"/>
      <c r="AF506" s="1664"/>
      <c r="AG506" s="13" t="s">
        <v>403</v>
      </c>
      <c r="AH506" s="1403">
        <v>2025</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413</v>
      </c>
      <c r="AC507" s="1336">
        <v>9</v>
      </c>
      <c r="AD507" s="1337"/>
      <c r="AE507" s="1337"/>
      <c r="AF507" s="1337"/>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7"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50"/>
      <c r="AC508" s="1663" t="s">
        <v>591</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823" t="s">
        <v>669</v>
      </c>
      <c r="AD509" s="1823"/>
      <c r="AE509" s="1823"/>
      <c r="AF509" s="1823"/>
      <c r="AG509" s="13"/>
      <c r="AH509" s="1334"/>
      <c r="AI509" s="1334"/>
      <c r="AJ509" s="1334"/>
      <c r="AK509" s="1672"/>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36"/>
      <c r="AD510" s="1337"/>
      <c r="AE510" s="1337"/>
      <c r="AF510" s="1338"/>
      <c r="AG510" s="13"/>
      <c r="AH510" s="1334"/>
      <c r="AI510" s="1334"/>
      <c r="AJ510" s="1334"/>
      <c r="AK510" s="1672"/>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6"/>
      <c r="AD512" s="1837"/>
      <c r="AE512" s="1837"/>
      <c r="AF512" s="1838"/>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5" t="s">
        <v>402</v>
      </c>
      <c r="AD513" s="1638"/>
      <c r="AE513" s="1638"/>
      <c r="AF513" s="1638"/>
      <c r="AG513" s="38" t="s">
        <v>403</v>
      </c>
      <c r="AH513" s="1638" t="s">
        <v>404</v>
      </c>
      <c r="AI513" s="1638"/>
      <c r="AJ513" s="1638"/>
      <c r="AK513" s="1849"/>
      <c r="AZ513" s="3"/>
      <c r="BA513" s="3"/>
      <c r="BB513" s="3"/>
      <c r="BC513" s="3"/>
      <c r="BD513" s="3"/>
      <c r="BE513" s="3"/>
      <c r="BF513" s="3"/>
      <c r="BG513" s="3"/>
      <c r="BH513" s="3"/>
      <c r="BI513" s="3"/>
      <c r="BJ513" s="3"/>
      <c r="BK513" s="3"/>
      <c r="BL513" s="3"/>
      <c r="BM513" s="3"/>
      <c r="BN513" s="3" t="s">
        <v>2106</v>
      </c>
    </row>
    <row r="514" spans="2:66" ht="13"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1</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3" customHeight="1">
      <c r="B515" s="1674"/>
      <c r="C515" s="1434"/>
      <c r="D515" s="1434"/>
      <c r="E515" s="1434"/>
      <c r="F515" s="1434"/>
      <c r="G515" s="1434"/>
      <c r="H515" s="1435"/>
      <c r="I515" t="s">
        <v>416</v>
      </c>
      <c r="AC515" s="1663">
        <v>1</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3"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10</v>
      </c>
      <c r="AD516" s="1664"/>
      <c r="AE516" s="1664"/>
      <c r="AF516" s="1664"/>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3"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3" customHeight="1">
      <c r="B518" s="1674"/>
      <c r="C518" s="1434"/>
      <c r="D518" s="1434"/>
      <c r="E518" s="1434"/>
      <c r="F518" s="1434"/>
      <c r="G518" s="1434"/>
      <c r="H518" s="1435"/>
      <c r="I518" t="s">
        <v>416</v>
      </c>
      <c r="AC518" s="1663">
        <v>1</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3"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3</v>
      </c>
      <c r="AD519" s="1664"/>
      <c r="AE519" s="1664"/>
      <c r="AF519" s="1664"/>
      <c r="AG519" s="38" t="s">
        <v>403</v>
      </c>
      <c r="AH519" s="1403">
        <v>2027</v>
      </c>
      <c r="AI519" s="1403"/>
      <c r="AJ519" s="1403"/>
      <c r="AK519" s="1404"/>
      <c r="BB519" s="3"/>
      <c r="BC519" s="3"/>
      <c r="BD519" s="3"/>
      <c r="BE519" s="3"/>
      <c r="BF519" s="3"/>
      <c r="BG519" s="3"/>
      <c r="BH519" s="3"/>
      <c r="BI519" s="3"/>
      <c r="BJ519" s="3"/>
      <c r="BK519" s="3"/>
      <c r="BL519" s="3"/>
      <c r="BM519" s="3"/>
      <c r="BN519" s="3" t="s">
        <v>2112</v>
      </c>
    </row>
    <row r="520" spans="2:66" ht="13" customHeight="1">
      <c r="B520" s="1673" t="s">
        <v>419</v>
      </c>
      <c r="C520" s="1432"/>
      <c r="D520" s="1432"/>
      <c r="E520" s="1432"/>
      <c r="F520" s="1432"/>
      <c r="G520" s="1432"/>
      <c r="H520" s="1433"/>
      <c r="I520" s="41" t="s">
        <v>420</v>
      </c>
      <c r="J520" s="42"/>
      <c r="K520" s="42"/>
      <c r="L520" s="42"/>
      <c r="M520" s="42"/>
      <c r="N520" s="42"/>
      <c r="O520" s="1751" t="s">
        <v>2717</v>
      </c>
      <c r="P520" s="1752"/>
      <c r="Q520" s="1752"/>
      <c r="R520" s="1752"/>
      <c r="S520" s="1752"/>
      <c r="T520" s="1752"/>
      <c r="U520" s="1752"/>
      <c r="V520" s="1752"/>
      <c r="W520" s="1752"/>
      <c r="X520" s="1752"/>
      <c r="Y520" s="1752"/>
      <c r="Z520" s="1752"/>
      <c r="AA520" s="1752"/>
      <c r="AB520" s="58"/>
      <c r="AC520" s="1336" t="s">
        <v>591</v>
      </c>
      <c r="AD520" s="1337"/>
      <c r="AE520" s="1337"/>
      <c r="AF520" s="1337"/>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3" customHeight="1">
      <c r="B521" s="1674"/>
      <c r="C521" s="1434"/>
      <c r="D521" s="1434"/>
      <c r="E521" s="1434"/>
      <c r="F521" s="1434"/>
      <c r="G521" s="1434"/>
      <c r="H521" s="1435"/>
      <c r="I521" s="114" t="s">
        <v>421</v>
      </c>
      <c r="AB521" s="65"/>
      <c r="AC521" s="1663">
        <v>10</v>
      </c>
      <c r="AD521" s="1664"/>
      <c r="AE521" s="1664"/>
      <c r="AF521" s="1664"/>
      <c r="AG521" s="13" t="s">
        <v>403</v>
      </c>
      <c r="AH521" s="1403">
        <v>2021</v>
      </c>
      <c r="AI521" s="1403"/>
      <c r="AJ521" s="1403"/>
      <c r="AK521" s="1404"/>
      <c r="AZ521" s="3"/>
      <c r="BB521" s="3"/>
      <c r="BC521" s="3"/>
      <c r="BD521" s="3"/>
      <c r="BE521" s="3"/>
      <c r="BF521" s="3"/>
      <c r="BG521" s="3"/>
      <c r="BH521" s="3"/>
      <c r="BI521" s="3"/>
      <c r="BJ521" s="3"/>
      <c r="BK521" s="3"/>
      <c r="BL521" s="3"/>
      <c r="BM521" s="3"/>
      <c r="BN521" s="3" t="s">
        <v>2114</v>
      </c>
    </row>
    <row r="522" spans="2:66" ht="13"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3</v>
      </c>
      <c r="AD522" s="1664"/>
      <c r="AE522" s="1664"/>
      <c r="AF522" s="1664"/>
      <c r="AG522" s="38" t="s">
        <v>403</v>
      </c>
      <c r="AH522" s="1403">
        <v>2022</v>
      </c>
      <c r="AI522" s="1403"/>
      <c r="AJ522" s="1403"/>
      <c r="AK522" s="1404"/>
      <c r="AZ522" s="3"/>
      <c r="BA522" s="3"/>
      <c r="BB522" s="3"/>
      <c r="BC522" s="3"/>
      <c r="BD522" s="3"/>
      <c r="BE522" s="3"/>
      <c r="BF522" s="3"/>
      <c r="BG522" s="3"/>
      <c r="BH522" s="3"/>
      <c r="BI522" s="3"/>
      <c r="BJ522" s="3"/>
      <c r="BK522" s="3"/>
      <c r="BL522" s="3"/>
      <c r="BM522" s="3"/>
      <c r="BN522" s="3" t="s">
        <v>2115</v>
      </c>
    </row>
    <row r="523" spans="2:66" ht="13" customHeight="1">
      <c r="B523" s="1674"/>
      <c r="C523" s="1434"/>
      <c r="D523" s="1434"/>
      <c r="E523" s="1434"/>
      <c r="F523" s="1434"/>
      <c r="G523" s="1434"/>
      <c r="H523" s="1435"/>
      <c r="I523" s="42" t="s">
        <v>423</v>
      </c>
      <c r="J523" s="42"/>
      <c r="K523" s="42"/>
      <c r="L523" s="42"/>
      <c r="M523" s="42"/>
      <c r="N523" s="42"/>
      <c r="O523" s="1751" t="s">
        <v>2716</v>
      </c>
      <c r="P523" s="1752"/>
      <c r="Q523" s="1752"/>
      <c r="R523" s="1752"/>
      <c r="S523" s="1752"/>
      <c r="T523" s="1752"/>
      <c r="U523" s="1752"/>
      <c r="V523" s="1752"/>
      <c r="W523" s="1752"/>
      <c r="X523" s="1752"/>
      <c r="Y523" s="1752"/>
      <c r="Z523" s="1752"/>
      <c r="AA523" s="1752"/>
      <c r="AC523" s="1663" t="s">
        <v>591</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3" customHeight="1">
      <c r="B524" s="1674"/>
      <c r="C524" s="1434"/>
      <c r="D524" s="1434"/>
      <c r="E524" s="1434"/>
      <c r="F524" s="1434"/>
      <c r="G524" s="1434"/>
      <c r="H524" s="1435"/>
      <c r="I524" t="s">
        <v>421</v>
      </c>
      <c r="AC524" s="1663">
        <v>10</v>
      </c>
      <c r="AD524" s="1664"/>
      <c r="AE524" s="1664"/>
      <c r="AF524" s="1664"/>
      <c r="AG524" s="13" t="s">
        <v>403</v>
      </c>
      <c r="AH524" s="1403">
        <v>2023</v>
      </c>
      <c r="AI524" s="1403"/>
      <c r="AJ524" s="1403"/>
      <c r="AK524" s="1404"/>
      <c r="AZ524" s="3"/>
      <c r="BA524" s="3"/>
      <c r="BB524" s="3"/>
      <c r="BC524" s="3"/>
      <c r="BD524" s="3"/>
      <c r="BE524" s="3"/>
      <c r="BF524" s="3"/>
      <c r="BG524" s="3"/>
      <c r="BH524" s="3"/>
      <c r="BI524" s="3"/>
      <c r="BJ524" s="3"/>
      <c r="BK524" s="3"/>
      <c r="BL524" s="3"/>
      <c r="BM524" s="3"/>
      <c r="BN524" s="3" t="s">
        <v>2117</v>
      </c>
    </row>
    <row r="525" spans="2:66" ht="13"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4</v>
      </c>
      <c r="AD525" s="1664"/>
      <c r="AE525" s="1664"/>
      <c r="AF525" s="1664"/>
      <c r="AG525" s="38" t="s">
        <v>403</v>
      </c>
      <c r="AH525" s="1403">
        <v>2024</v>
      </c>
      <c r="AI525" s="1403"/>
      <c r="AJ525" s="1403"/>
      <c r="AK525" s="1404"/>
      <c r="AZ525" s="3"/>
      <c r="BA525" s="3"/>
      <c r="BB525" s="3"/>
      <c r="BC525" s="3"/>
      <c r="BD525" s="3"/>
      <c r="BE525" s="3"/>
      <c r="BF525" s="3"/>
      <c r="BG525" s="3"/>
      <c r="BH525" s="3"/>
      <c r="BI525" s="3"/>
      <c r="BJ525" s="3"/>
      <c r="BK525" s="3"/>
      <c r="BL525" s="3"/>
      <c r="BM525" s="3"/>
      <c r="BN525" s="3" t="s">
        <v>2118</v>
      </c>
    </row>
    <row r="526" spans="2:66" ht="13" customHeight="1">
      <c r="B526" s="1674"/>
      <c r="C526" s="1434"/>
      <c r="D526" s="1434"/>
      <c r="E526" s="1434"/>
      <c r="F526" s="1434"/>
      <c r="G526" s="1434"/>
      <c r="H526" s="1435"/>
      <c r="I526" s="42" t="s">
        <v>423</v>
      </c>
      <c r="J526" s="42"/>
      <c r="K526" s="42"/>
      <c r="L526" s="42"/>
      <c r="M526" s="42"/>
      <c r="N526" s="42"/>
      <c r="O526" s="1751" t="s">
        <v>2776</v>
      </c>
      <c r="P526" s="1752"/>
      <c r="Q526" s="1752"/>
      <c r="R526" s="1752"/>
      <c r="S526" s="1752"/>
      <c r="T526" s="1752"/>
      <c r="U526" s="1752"/>
      <c r="V526" s="1752"/>
      <c r="W526" s="1752"/>
      <c r="X526" s="1752"/>
      <c r="Y526" s="1752"/>
      <c r="Z526" s="1752"/>
      <c r="AA526" s="1752"/>
      <c r="AC526" s="1663" t="s">
        <v>591</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3" customHeight="1">
      <c r="B527" s="1674"/>
      <c r="C527" s="1434"/>
      <c r="D527" s="1434"/>
      <c r="E527" s="1434"/>
      <c r="F527" s="1434"/>
      <c r="G527" s="1434"/>
      <c r="H527" s="1435"/>
      <c r="I527" t="s">
        <v>421</v>
      </c>
      <c r="AC527" s="1663">
        <v>9</v>
      </c>
      <c r="AD527" s="1664"/>
      <c r="AE527" s="1664"/>
      <c r="AF527" s="1664"/>
      <c r="AG527" s="13" t="s">
        <v>403</v>
      </c>
      <c r="AH527" s="1403">
        <v>2024</v>
      </c>
      <c r="AI527" s="1403"/>
      <c r="AJ527" s="1403"/>
      <c r="AK527" s="1404"/>
      <c r="AZ527" s="3"/>
      <c r="BA527" s="3"/>
      <c r="BB527" s="3"/>
      <c r="BC527" s="3"/>
      <c r="BD527" s="3"/>
      <c r="BE527" s="3"/>
      <c r="BF527" s="3"/>
      <c r="BG527" s="3"/>
      <c r="BH527" s="3"/>
      <c r="BI527" s="3"/>
      <c r="BJ527" s="3"/>
      <c r="BK527" s="3"/>
      <c r="BL527" s="3"/>
      <c r="BM527" s="3"/>
      <c r="BN527" s="3" t="s">
        <v>2120</v>
      </c>
    </row>
    <row r="528" spans="2:66" ht="13"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v>2</v>
      </c>
      <c r="AD528" s="1664"/>
      <c r="AE528" s="1664"/>
      <c r="AF528" s="1664"/>
      <c r="AG528" s="38" t="s">
        <v>403</v>
      </c>
      <c r="AH528" s="1403">
        <v>2025</v>
      </c>
      <c r="AI528" s="1403"/>
      <c r="AJ528" s="1403"/>
      <c r="AK528" s="1404"/>
      <c r="AZ528" s="3"/>
      <c r="BA528" s="3"/>
      <c r="BB528" s="3"/>
      <c r="BC528" s="3"/>
      <c r="BD528" s="3"/>
      <c r="BE528" s="3"/>
      <c r="BF528" s="3"/>
      <c r="BG528" s="3"/>
      <c r="BH528" s="3"/>
      <c r="BI528" s="3"/>
      <c r="BJ528" s="3"/>
      <c r="BK528" s="3"/>
      <c r="BL528" s="3"/>
      <c r="BM528" s="3"/>
      <c r="BN528" s="3" t="s">
        <v>2121</v>
      </c>
    </row>
    <row r="529" spans="1:66" ht="13" customHeight="1">
      <c r="B529" s="1674"/>
      <c r="C529" s="1434"/>
      <c r="D529" s="1434"/>
      <c r="E529" s="1434"/>
      <c r="F529" s="1434"/>
      <c r="G529" s="1434"/>
      <c r="H529" s="1435"/>
      <c r="I529" s="42" t="s">
        <v>423</v>
      </c>
      <c r="J529" s="42"/>
      <c r="K529" s="42"/>
      <c r="L529" s="42"/>
      <c r="M529" s="42"/>
      <c r="N529" s="42"/>
      <c r="O529" s="1751" t="s">
        <v>2772</v>
      </c>
      <c r="P529" s="1752"/>
      <c r="Q529" s="1752"/>
      <c r="R529" s="1752"/>
      <c r="S529" s="1752"/>
      <c r="T529" s="1752"/>
      <c r="U529" s="1752"/>
      <c r="V529" s="1752"/>
      <c r="W529" s="1752"/>
      <c r="X529" s="1752"/>
      <c r="Y529" s="1752"/>
      <c r="Z529" s="1752"/>
      <c r="AA529" s="1752"/>
      <c r="AC529" s="1663" t="s">
        <v>591</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3" customHeight="1">
      <c r="B530" s="1674"/>
      <c r="C530" s="1434"/>
      <c r="D530" s="1434"/>
      <c r="E530" s="1434"/>
      <c r="F530" s="1434"/>
      <c r="G530" s="1434"/>
      <c r="H530" s="1435"/>
      <c r="I530" t="s">
        <v>421</v>
      </c>
      <c r="AC530" s="1663" t="s">
        <v>591</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3"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v>2</v>
      </c>
      <c r="AD531" s="1664"/>
      <c r="AE531" s="1664"/>
      <c r="AF531" s="1664"/>
      <c r="AG531" s="38" t="s">
        <v>403</v>
      </c>
      <c r="AH531" s="1403">
        <v>2025</v>
      </c>
      <c r="AI531" s="1403"/>
      <c r="AJ531" s="1403"/>
      <c r="AK531" s="1404"/>
      <c r="AZ531" s="3"/>
      <c r="BA531" s="3"/>
      <c r="BB531" s="3"/>
      <c r="BC531" s="3"/>
      <c r="BD531" s="3"/>
      <c r="BE531" s="3"/>
      <c r="BF531" s="3"/>
      <c r="BG531" s="3"/>
      <c r="BH531" s="3"/>
      <c r="BI531" s="3"/>
      <c r="BJ531" s="3"/>
      <c r="BK531" s="3"/>
      <c r="BL531" s="3"/>
      <c r="BM531" s="3"/>
      <c r="BN531" s="3" t="s">
        <v>2124</v>
      </c>
    </row>
    <row r="532" spans="1:66" ht="13"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591</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3" customHeight="1">
      <c r="B533" s="1674"/>
      <c r="C533" s="1434"/>
      <c r="D533" s="1434"/>
      <c r="E533" s="1434"/>
      <c r="F533" s="1434"/>
      <c r="G533" s="1434"/>
      <c r="H533" s="1435"/>
      <c r="I533" t="s">
        <v>421</v>
      </c>
      <c r="AC533" s="1663" t="s">
        <v>591</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3"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3"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591</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3" customHeight="1">
      <c r="B536" s="1674"/>
      <c r="C536" s="1434"/>
      <c r="D536" s="1434"/>
      <c r="E536" s="1434"/>
      <c r="F536" s="1434"/>
      <c r="G536" s="1434"/>
      <c r="H536" s="1435"/>
      <c r="I536" t="s">
        <v>421</v>
      </c>
      <c r="AC536" s="1663" t="s">
        <v>591</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3"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1</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10</v>
      </c>
      <c r="AD539" s="1664"/>
      <c r="AE539" s="1664"/>
      <c r="AF539" s="1664"/>
      <c r="AG539" s="13" t="s">
        <v>403</v>
      </c>
      <c r="AH539" s="1403">
        <v>2025</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3</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3</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6</v>
      </c>
      <c r="AD542" s="1664"/>
      <c r="AE542" s="1664"/>
      <c r="AF542" s="1664"/>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453</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Yes</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9"/>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9"/>
      <c r="BB553" s="3"/>
      <c r="BC553" s="3"/>
      <c r="BD553" s="3"/>
      <c r="BE553" s="3"/>
      <c r="BF553" s="3"/>
      <c r="BG553" s="3"/>
      <c r="BH553" s="3"/>
      <c r="BI553" s="3"/>
    </row>
    <row r="554" spans="1:61" ht="13" customHeight="1">
      <c r="B554" s="51" t="s">
        <v>112</v>
      </c>
      <c r="C554" s="1693" t="s">
        <v>2718</v>
      </c>
      <c r="D554" s="1693"/>
      <c r="E554" s="1693"/>
      <c r="F554" s="1693"/>
      <c r="G554" s="1693"/>
      <c r="H554" s="1693"/>
      <c r="I554" s="1693"/>
      <c r="J554" s="1693"/>
      <c r="K554" s="1693"/>
      <c r="L554" s="1693"/>
      <c r="M554" s="1693" t="s">
        <v>2121</v>
      </c>
      <c r="N554" s="1693"/>
      <c r="O554" s="1693"/>
      <c r="P554" s="1693"/>
      <c r="Q554" s="1454">
        <v>24</v>
      </c>
      <c r="R554" s="1454"/>
      <c r="S554" s="1455"/>
      <c r="T554" s="1453"/>
      <c r="U554" s="1454"/>
      <c r="V554" s="1455"/>
      <c r="W554" s="1456">
        <v>6.3E-2</v>
      </c>
      <c r="X554" s="1457"/>
      <c r="Y554" s="1458"/>
      <c r="Z554" s="1694" t="s">
        <v>2777</v>
      </c>
      <c r="AA554" s="1694"/>
      <c r="AB554" s="1694"/>
      <c r="AC554" s="1694"/>
      <c r="AD554" s="1694"/>
      <c r="AE554" s="1676">
        <v>1</v>
      </c>
      <c r="AF554" s="1677"/>
      <c r="AG554" s="1677"/>
      <c r="AH554" s="1678"/>
      <c r="AI554" s="1679"/>
      <c r="AJ554" s="1680"/>
      <c r="AK554" s="1680"/>
      <c r="AL554" s="1681"/>
      <c r="AM554" s="1669">
        <v>21436286</v>
      </c>
      <c r="AN554" s="1670"/>
      <c r="AO554" s="1670"/>
      <c r="AP554" s="1670"/>
      <c r="AQ554" s="1670"/>
      <c r="AR554" s="1670"/>
      <c r="AS554" s="1671"/>
      <c r="AT554" s="1150"/>
      <c r="AU554" s="1149"/>
      <c r="BB554" s="3"/>
      <c r="BC554" s="3"/>
      <c r="BD554" s="3"/>
      <c r="BE554" s="3"/>
      <c r="BF554" s="3"/>
      <c r="BG554" s="3"/>
      <c r="BH554" s="3"/>
      <c r="BI554" s="3"/>
    </row>
    <row r="555" spans="1:61" ht="13" customHeight="1">
      <c r="B555" s="52" t="s">
        <v>113</v>
      </c>
      <c r="C555" s="1682" t="s">
        <v>2718</v>
      </c>
      <c r="D555" s="1682"/>
      <c r="E555" s="1682"/>
      <c r="F555" s="1682"/>
      <c r="G555" s="1682"/>
      <c r="H555" s="1682"/>
      <c r="I555" s="1682"/>
      <c r="J555" s="1682"/>
      <c r="K555" s="1682"/>
      <c r="L555" s="1682"/>
      <c r="M555" s="1693" t="s">
        <v>2120</v>
      </c>
      <c r="N555" s="1693"/>
      <c r="O555" s="1693"/>
      <c r="P555" s="1693"/>
      <c r="Q555" s="1453">
        <v>24</v>
      </c>
      <c r="R555" s="1454"/>
      <c r="S555" s="1455"/>
      <c r="T555" s="1453"/>
      <c r="U555" s="1454"/>
      <c r="V555" s="1455"/>
      <c r="W555" s="1456">
        <v>6.8000000000000005E-2</v>
      </c>
      <c r="X555" s="1457"/>
      <c r="Y555" s="1458"/>
      <c r="Z555" s="1694" t="s">
        <v>2777</v>
      </c>
      <c r="AA555" s="1694"/>
      <c r="AB555" s="1694"/>
      <c r="AC555" s="1694"/>
      <c r="AD555" s="1694"/>
      <c r="AE555" s="1676">
        <v>2</v>
      </c>
      <c r="AF555" s="1677"/>
      <c r="AG555" s="1677"/>
      <c r="AH555" s="1678"/>
      <c r="AI555" s="1679"/>
      <c r="AJ555" s="1680"/>
      <c r="AK555" s="1680"/>
      <c r="AL555" s="1681"/>
      <c r="AM555" s="1669">
        <v>852426</v>
      </c>
      <c r="AN555" s="1670"/>
      <c r="AO555" s="1670"/>
      <c r="AP555" s="1670"/>
      <c r="AQ555" s="1670"/>
      <c r="AR555" s="1670"/>
      <c r="AS555" s="1671"/>
      <c r="AT555" s="1150" t="str">
        <f>IF(AND(NOT(C554=""),C555="",NOT(C556="")),"!","")</f>
        <v/>
      </c>
      <c r="AU555" s="1149"/>
      <c r="BB555" s="3"/>
      <c r="BC555" s="3"/>
      <c r="BD555" s="3"/>
      <c r="BE555" s="3"/>
      <c r="BF555" s="3"/>
      <c r="BG555" s="3"/>
      <c r="BH555" s="3"/>
      <c r="BI555" s="3"/>
    </row>
    <row r="556" spans="1:61" ht="13" customHeight="1">
      <c r="B556" s="52" t="s">
        <v>119</v>
      </c>
      <c r="C556" s="1682" t="s">
        <v>2625</v>
      </c>
      <c r="D556" s="1682"/>
      <c r="E556" s="1682"/>
      <c r="F556" s="1682"/>
      <c r="G556" s="1682"/>
      <c r="H556" s="1682"/>
      <c r="I556" s="1682"/>
      <c r="J556" s="1682"/>
      <c r="K556" s="1682"/>
      <c r="L556" s="1682"/>
      <c r="M556" s="1693" t="s">
        <v>2108</v>
      </c>
      <c r="N556" s="1693"/>
      <c r="O556" s="1693"/>
      <c r="P556" s="1693"/>
      <c r="Q556" s="1453"/>
      <c r="R556" s="1454"/>
      <c r="S556" s="1455"/>
      <c r="T556" s="1453"/>
      <c r="U556" s="1454"/>
      <c r="V556" s="1455"/>
      <c r="W556" s="1456">
        <v>0</v>
      </c>
      <c r="X556" s="1457"/>
      <c r="Y556" s="1458"/>
      <c r="Z556" s="1694" t="s">
        <v>591</v>
      </c>
      <c r="AA556" s="1694"/>
      <c r="AB556" s="1694"/>
      <c r="AC556" s="1694"/>
      <c r="AD556" s="1694"/>
      <c r="AE556" s="1676">
        <v>3</v>
      </c>
      <c r="AF556" s="1677"/>
      <c r="AG556" s="1677"/>
      <c r="AH556" s="1678"/>
      <c r="AI556" s="1679"/>
      <c r="AJ556" s="1680"/>
      <c r="AK556" s="1680"/>
      <c r="AL556" s="1681"/>
      <c r="AM556" s="1669">
        <v>1875000</v>
      </c>
      <c r="AN556" s="1670"/>
      <c r="AO556" s="1670"/>
      <c r="AP556" s="1670"/>
      <c r="AQ556" s="1670"/>
      <c r="AR556" s="1670"/>
      <c r="AS556" s="1671"/>
      <c r="AT556" s="1150" t="str">
        <f>IF(AND(NOT(C555=""),C556="",NOT(C557="")),"!","")</f>
        <v/>
      </c>
      <c r="AU556" s="1149"/>
      <c r="BB556" s="3"/>
      <c r="BC556" s="3"/>
      <c r="BD556" s="3"/>
      <c r="BE556" s="3"/>
      <c r="BF556" s="3"/>
      <c r="BG556" s="3"/>
      <c r="BH556" s="3"/>
      <c r="BI556" s="3"/>
    </row>
    <row r="557" spans="1:61" ht="13" customHeight="1">
      <c r="B557" s="52" t="s">
        <v>581</v>
      </c>
      <c r="C557" s="1682" t="s">
        <v>2681</v>
      </c>
      <c r="D557" s="1682"/>
      <c r="E557" s="1682"/>
      <c r="F557" s="1682"/>
      <c r="G557" s="1682"/>
      <c r="H557" s="1682"/>
      <c r="I557" s="1682"/>
      <c r="J557" s="1682"/>
      <c r="K557" s="1682"/>
      <c r="L557" s="1682"/>
      <c r="M557" s="1693" t="s">
        <v>2112</v>
      </c>
      <c r="N557" s="1693"/>
      <c r="O557" s="1693"/>
      <c r="P557" s="1693"/>
      <c r="Q557" s="1453"/>
      <c r="R557" s="1454"/>
      <c r="S557" s="1455"/>
      <c r="T557" s="1453"/>
      <c r="U557" s="1454"/>
      <c r="V557" s="1455"/>
      <c r="W557" s="1456">
        <v>0</v>
      </c>
      <c r="X557" s="1457"/>
      <c r="Y557" s="1458"/>
      <c r="Z557" s="1694" t="s">
        <v>591</v>
      </c>
      <c r="AA557" s="1694"/>
      <c r="AB557" s="1694"/>
      <c r="AC557" s="1694"/>
      <c r="AD557" s="1694"/>
      <c r="AE557" s="1676"/>
      <c r="AF557" s="1677"/>
      <c r="AG557" s="1677"/>
      <c r="AH557" s="1678"/>
      <c r="AI557" s="1679"/>
      <c r="AJ557" s="1680"/>
      <c r="AK557" s="1680"/>
      <c r="AL557" s="1681"/>
      <c r="AM557" s="1669">
        <v>1255827</v>
      </c>
      <c r="AN557" s="1670"/>
      <c r="AO557" s="1670"/>
      <c r="AP557" s="1670"/>
      <c r="AQ557" s="1670"/>
      <c r="AR557" s="1670"/>
      <c r="AS557" s="1671"/>
      <c r="AT557" s="1150" t="str">
        <f>IF(AND(NOT(C556=""),C557="",NOT(C558="")),"!","")</f>
        <v/>
      </c>
      <c r="AU557" s="1149"/>
      <c r="BB557" s="3"/>
      <c r="BC557" s="3"/>
      <c r="BD557" s="3"/>
      <c r="BE557" s="3"/>
      <c r="BF557" s="3"/>
      <c r="BG557" s="3"/>
      <c r="BH557" s="3"/>
      <c r="BI557" s="3"/>
    </row>
    <row r="558" spans="1:61" ht="13" customHeight="1">
      <c r="B558" s="52" t="s">
        <v>763</v>
      </c>
      <c r="C558" s="1682" t="s">
        <v>2719</v>
      </c>
      <c r="D558" s="1682"/>
      <c r="E558" s="1682"/>
      <c r="F558" s="1682"/>
      <c r="G558" s="1682"/>
      <c r="H558" s="1682"/>
      <c r="I558" s="1682"/>
      <c r="J558" s="1682"/>
      <c r="K558" s="1682"/>
      <c r="L558" s="1682"/>
      <c r="M558" s="1693" t="s">
        <v>2117</v>
      </c>
      <c r="N558" s="1693"/>
      <c r="O558" s="1693"/>
      <c r="P558" s="1693"/>
      <c r="Q558" s="1453">
        <v>660</v>
      </c>
      <c r="R558" s="1454"/>
      <c r="S558" s="1455"/>
      <c r="T558" s="1453"/>
      <c r="U558" s="1454"/>
      <c r="V558" s="1455"/>
      <c r="W558" s="1456">
        <v>0.03</v>
      </c>
      <c r="X558" s="1457"/>
      <c r="Y558" s="1458"/>
      <c r="Z558" s="1694" t="s">
        <v>591</v>
      </c>
      <c r="AA558" s="1694"/>
      <c r="AB558" s="1694"/>
      <c r="AC558" s="1694"/>
      <c r="AD558" s="1694"/>
      <c r="AE558" s="1676"/>
      <c r="AF558" s="1677"/>
      <c r="AG558" s="1677"/>
      <c r="AH558" s="1678"/>
      <c r="AI558" s="1679"/>
      <c r="AJ558" s="1680"/>
      <c r="AK558" s="1680"/>
      <c r="AL558" s="1681"/>
      <c r="AM558" s="1669">
        <v>13936934</v>
      </c>
      <c r="AN558" s="1670"/>
      <c r="AO558" s="1670"/>
      <c r="AP558" s="1670"/>
      <c r="AQ558" s="1670"/>
      <c r="AR558" s="1670"/>
      <c r="AS558" s="1671"/>
      <c r="AT558" s="1150" t="str">
        <f t="shared" ref="AT558:AT565" si="0">IF(AND(NOT(C557=""),C558="",NOT(C559="")),"!","")</f>
        <v/>
      </c>
      <c r="AU558" s="1149"/>
      <c r="BB558" s="3"/>
      <c r="BC558" s="3"/>
      <c r="BD558" s="3"/>
      <c r="BE558" s="3"/>
      <c r="BF558" s="3"/>
      <c r="BG558" s="3"/>
      <c r="BH558" s="3" t="s">
        <v>763</v>
      </c>
      <c r="BI558" s="3" t="str">
        <f>N665</f>
        <v>Yes</v>
      </c>
    </row>
    <row r="559" spans="1:61" ht="13" customHeight="1">
      <c r="B559" s="52" t="s">
        <v>584</v>
      </c>
      <c r="C559" s="1682" t="s">
        <v>2716</v>
      </c>
      <c r="D559" s="1682"/>
      <c r="E559" s="1682"/>
      <c r="F559" s="1682"/>
      <c r="G559" s="1682"/>
      <c r="H559" s="1682"/>
      <c r="I559" s="1682"/>
      <c r="J559" s="1682"/>
      <c r="K559" s="1682"/>
      <c r="L559" s="1682"/>
      <c r="M559" s="1693" t="s">
        <v>2114</v>
      </c>
      <c r="N559" s="1693"/>
      <c r="O559" s="1693"/>
      <c r="P559" s="1693"/>
      <c r="Q559" s="1453">
        <v>660</v>
      </c>
      <c r="R559" s="1454"/>
      <c r="S559" s="1455"/>
      <c r="T559" s="1453"/>
      <c r="U559" s="1454"/>
      <c r="V559" s="1455"/>
      <c r="W559" s="1456">
        <v>0</v>
      </c>
      <c r="X559" s="1457"/>
      <c r="Y559" s="1458"/>
      <c r="Z559" s="1694" t="s">
        <v>591</v>
      </c>
      <c r="AA559" s="1694"/>
      <c r="AB559" s="1694"/>
      <c r="AC559" s="1694"/>
      <c r="AD559" s="1694"/>
      <c r="AE559" s="1676"/>
      <c r="AF559" s="1677"/>
      <c r="AG559" s="1677"/>
      <c r="AH559" s="1678"/>
      <c r="AI559" s="1679"/>
      <c r="AJ559" s="1680"/>
      <c r="AK559" s="1680"/>
      <c r="AL559" s="1681"/>
      <c r="AM559" s="1669">
        <v>3449000</v>
      </c>
      <c r="AN559" s="1670"/>
      <c r="AO559" s="1670"/>
      <c r="AP559" s="1670"/>
      <c r="AQ559" s="1670"/>
      <c r="AR559" s="1670"/>
      <c r="AS559" s="1671"/>
      <c r="AT559" s="1150" t="str">
        <f t="shared" si="0"/>
        <v/>
      </c>
      <c r="AU559" s="1149"/>
      <c r="BB559" s="3"/>
      <c r="BC559" s="3"/>
      <c r="BD559" s="3"/>
      <c r="BE559" s="3"/>
      <c r="BF559" s="3"/>
      <c r="BG559" s="3"/>
      <c r="BH559" s="3" t="s">
        <v>584</v>
      </c>
      <c r="BI559" s="3" t="str">
        <f>AG665</f>
        <v>No</v>
      </c>
    </row>
    <row r="560" spans="1:61" ht="13" customHeight="1">
      <c r="B560" s="52" t="s">
        <v>455</v>
      </c>
      <c r="C560" s="1682" t="s">
        <v>2625</v>
      </c>
      <c r="D560" s="1682"/>
      <c r="E560" s="1682"/>
      <c r="F560" s="1682"/>
      <c r="G560" s="1682"/>
      <c r="H560" s="1682"/>
      <c r="I560" s="1682"/>
      <c r="J560" s="1682"/>
      <c r="K560" s="1682"/>
      <c r="L560" s="1682"/>
      <c r="M560" s="1693" t="s">
        <v>2107</v>
      </c>
      <c r="N560" s="1693"/>
      <c r="O560" s="1693"/>
      <c r="P560" s="1693"/>
      <c r="Q560" s="1453"/>
      <c r="R560" s="1454"/>
      <c r="S560" s="1455"/>
      <c r="T560" s="1453"/>
      <c r="U560" s="1454"/>
      <c r="V560" s="1455"/>
      <c r="W560" s="1456">
        <v>0</v>
      </c>
      <c r="X560" s="1457"/>
      <c r="Y560" s="1458"/>
      <c r="Z560" s="1694" t="s">
        <v>591</v>
      </c>
      <c r="AA560" s="1694"/>
      <c r="AB560" s="1694"/>
      <c r="AC560" s="1694"/>
      <c r="AD560" s="1694"/>
      <c r="AE560" s="1676"/>
      <c r="AF560" s="1677"/>
      <c r="AG560" s="1677"/>
      <c r="AH560" s="1678"/>
      <c r="AI560" s="1679"/>
      <c r="AJ560" s="1680"/>
      <c r="AK560" s="1680"/>
      <c r="AL560" s="1681"/>
      <c r="AM560" s="1669">
        <v>141716</v>
      </c>
      <c r="AN560" s="1670"/>
      <c r="AO560" s="1670"/>
      <c r="AP560" s="1670"/>
      <c r="AQ560" s="1670"/>
      <c r="AR560" s="1670"/>
      <c r="AS560" s="1671"/>
      <c r="AT560" s="1150" t="str">
        <f>IF(AND(NOT(C559=""),C560="",NOT(C561="")),"!","")</f>
        <v/>
      </c>
      <c r="AU560" s="1149"/>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3" t="s">
        <v>1184</v>
      </c>
      <c r="N561" s="1693"/>
      <c r="O561" s="1693"/>
      <c r="P561" s="1693"/>
      <c r="Q561" s="1453"/>
      <c r="R561" s="1454"/>
      <c r="S561" s="1455"/>
      <c r="T561" s="1453"/>
      <c r="U561" s="1454"/>
      <c r="V561" s="1455"/>
      <c r="W561" s="1456"/>
      <c r="X561" s="1457"/>
      <c r="Y561" s="1458"/>
      <c r="Z561" s="1694" t="s">
        <v>1184</v>
      </c>
      <c r="AA561" s="1694"/>
      <c r="AB561" s="1694"/>
      <c r="AC561" s="1694"/>
      <c r="AD561" s="1694"/>
      <c r="AE561" s="1676"/>
      <c r="AF561" s="1677"/>
      <c r="AG561" s="1677"/>
      <c r="AH561" s="1678"/>
      <c r="AI561" s="1679"/>
      <c r="AJ561" s="1680"/>
      <c r="AK561" s="1680"/>
      <c r="AL561" s="1681"/>
      <c r="AM561" s="1669"/>
      <c r="AN561" s="1670"/>
      <c r="AO561" s="1670"/>
      <c r="AP561" s="1670"/>
      <c r="AQ561" s="1670"/>
      <c r="AR561" s="1670"/>
      <c r="AS561" s="1671"/>
      <c r="AT561" s="1150" t="str">
        <f>IF(AND(NOT(C560=""),C561="",NOT(C562="")),"!","")</f>
        <v/>
      </c>
      <c r="AU561" s="1149"/>
      <c r="BB561" s="3"/>
      <c r="BC561" s="3"/>
      <c r="BD561" s="3"/>
      <c r="BE561" s="3"/>
      <c r="BF561" s="3"/>
      <c r="BG561" s="3"/>
      <c r="BH561" s="3"/>
      <c r="BI561" s="3"/>
    </row>
    <row r="562" spans="1:61" ht="13" customHeight="1">
      <c r="B562" s="52" t="s">
        <v>461</v>
      </c>
      <c r="C562" s="1829"/>
      <c r="D562" s="1830"/>
      <c r="E562" s="1830"/>
      <c r="F562" s="1830"/>
      <c r="G562" s="1830"/>
      <c r="H562" s="1830"/>
      <c r="I562" s="1830"/>
      <c r="J562" s="1830"/>
      <c r="K562" s="1830"/>
      <c r="L562" s="1831"/>
      <c r="M562" s="1693" t="s">
        <v>1184</v>
      </c>
      <c r="N562" s="1693"/>
      <c r="O562" s="1693"/>
      <c r="P562" s="1693"/>
      <c r="Q562" s="1453"/>
      <c r="R562" s="1454"/>
      <c r="S562" s="1455"/>
      <c r="T562" s="1453"/>
      <c r="U562" s="1454"/>
      <c r="V562" s="1455"/>
      <c r="W562" s="1456"/>
      <c r="X562" s="1457"/>
      <c r="Y562" s="1458"/>
      <c r="Z562" s="1694" t="s">
        <v>1184</v>
      </c>
      <c r="AA562" s="1694"/>
      <c r="AB562" s="1694"/>
      <c r="AC562" s="1694"/>
      <c r="AD562" s="1694"/>
      <c r="AE562" s="1676"/>
      <c r="AF562" s="1677"/>
      <c r="AG562" s="1677"/>
      <c r="AH562" s="1678"/>
      <c r="AI562" s="1679"/>
      <c r="AJ562" s="1680"/>
      <c r="AK562" s="1680"/>
      <c r="AL562" s="1681"/>
      <c r="AM562" s="1669"/>
      <c r="AN562" s="1670"/>
      <c r="AO562" s="1670"/>
      <c r="AP562" s="1670"/>
      <c r="AQ562" s="1670"/>
      <c r="AR562" s="1670"/>
      <c r="AS562" s="1671"/>
      <c r="AT562" s="1150" t="str">
        <f>IF(AND(NOT(C561=""),C562="",NOT(C563="")),"!","")</f>
        <v/>
      </c>
      <c r="AU562" s="1149"/>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3" t="s">
        <v>1184</v>
      </c>
      <c r="N563" s="1693"/>
      <c r="O563" s="1693"/>
      <c r="P563" s="1693"/>
      <c r="Q563" s="1453"/>
      <c r="R563" s="1454"/>
      <c r="S563" s="1455"/>
      <c r="T563" s="1453"/>
      <c r="U563" s="1454"/>
      <c r="V563" s="1455"/>
      <c r="W563" s="1456"/>
      <c r="X563" s="1457"/>
      <c r="Y563" s="1458"/>
      <c r="Z563" s="1694" t="s">
        <v>1184</v>
      </c>
      <c r="AA563" s="1694"/>
      <c r="AB563" s="1694"/>
      <c r="AC563" s="1694"/>
      <c r="AD563" s="1694"/>
      <c r="AE563" s="1676"/>
      <c r="AF563" s="1677"/>
      <c r="AG563" s="1677"/>
      <c r="AH563" s="1678"/>
      <c r="AI563" s="1679"/>
      <c r="AJ563" s="1680"/>
      <c r="AK563" s="1680"/>
      <c r="AL563" s="1681"/>
      <c r="AM563" s="1669"/>
      <c r="AN563" s="1670"/>
      <c r="AO563" s="1670"/>
      <c r="AP563" s="1670"/>
      <c r="AQ563" s="1670"/>
      <c r="AR563" s="1670"/>
      <c r="AS563" s="1671"/>
      <c r="AT563" s="1150" t="str">
        <f>IF(AND(NOT(C562=""),C563="",NOT(C564="")),"!","")</f>
        <v/>
      </c>
      <c r="BB563" s="3"/>
      <c r="BC563" s="3"/>
      <c r="BD563" s="3"/>
      <c r="BE563" s="3"/>
      <c r="BF563" s="3"/>
      <c r="BG563" s="3"/>
      <c r="BH563" s="3"/>
      <c r="BI563" s="3"/>
    </row>
    <row r="564" spans="1:61" ht="13" customHeight="1">
      <c r="B564" s="52" t="s">
        <v>362</v>
      </c>
      <c r="C564" s="1682"/>
      <c r="D564" s="1682"/>
      <c r="E564" s="1682"/>
      <c r="F564" s="1682"/>
      <c r="G564" s="1682"/>
      <c r="H564" s="1682"/>
      <c r="I564" s="1682"/>
      <c r="J564" s="1682"/>
      <c r="K564" s="1682"/>
      <c r="L564" s="1682"/>
      <c r="M564" s="1693" t="s">
        <v>1184</v>
      </c>
      <c r="N564" s="1693"/>
      <c r="O564" s="1693"/>
      <c r="P564" s="1693"/>
      <c r="Q564" s="1453"/>
      <c r="R564" s="1454"/>
      <c r="S564" s="1455"/>
      <c r="T564" s="1453"/>
      <c r="U564" s="1454"/>
      <c r="V564" s="1455"/>
      <c r="W564" s="1456"/>
      <c r="X564" s="1457"/>
      <c r="Y564" s="1458"/>
      <c r="Z564" s="1694" t="s">
        <v>1184</v>
      </c>
      <c r="AA564" s="1694"/>
      <c r="AB564" s="1694"/>
      <c r="AC564" s="1694"/>
      <c r="AD564" s="1694"/>
      <c r="AE564" s="1676"/>
      <c r="AF564" s="1677"/>
      <c r="AG564" s="1677"/>
      <c r="AH564" s="1678"/>
      <c r="AI564" s="1679"/>
      <c r="AJ564" s="1680"/>
      <c r="AK564" s="1680"/>
      <c r="AL564" s="1681"/>
      <c r="AM564" s="1669"/>
      <c r="AN564" s="1670"/>
      <c r="AO564" s="1670"/>
      <c r="AP564" s="1670"/>
      <c r="AQ564" s="1670"/>
      <c r="AR564" s="1670"/>
      <c r="AS564" s="1671"/>
      <c r="AT564" s="1150" t="str">
        <f t="shared" si="0"/>
        <v/>
      </c>
      <c r="BB564" s="3"/>
      <c r="BC564" s="3"/>
      <c r="BD564" s="3"/>
      <c r="BE564" s="3"/>
      <c r="BF564" s="3"/>
      <c r="BG564" s="3"/>
      <c r="BH564" s="3"/>
      <c r="BI564" s="3"/>
    </row>
    <row r="565" spans="1:61" ht="13" customHeight="1">
      <c r="B565" s="52" t="s">
        <v>363</v>
      </c>
      <c r="C565" s="1682"/>
      <c r="D565" s="1682"/>
      <c r="E565" s="1682"/>
      <c r="F565" s="1682"/>
      <c r="G565" s="1682"/>
      <c r="H565" s="1682"/>
      <c r="I565" s="1682"/>
      <c r="J565" s="1682"/>
      <c r="K565" s="1682"/>
      <c r="L565" s="1682"/>
      <c r="M565" s="1693" t="s">
        <v>1184</v>
      </c>
      <c r="N565" s="1693"/>
      <c r="O565" s="1693"/>
      <c r="P565" s="1693"/>
      <c r="Q565" s="1453"/>
      <c r="R565" s="1454"/>
      <c r="S565" s="1455"/>
      <c r="T565" s="1453"/>
      <c r="U565" s="1454"/>
      <c r="V565" s="1455"/>
      <c r="W565" s="1456"/>
      <c r="X565" s="1457"/>
      <c r="Y565" s="1458"/>
      <c r="Z565" s="1694" t="s">
        <v>1184</v>
      </c>
      <c r="AA565" s="1694"/>
      <c r="AB565" s="1694"/>
      <c r="AC565" s="1694"/>
      <c r="AD565" s="1694"/>
      <c r="AE565" s="1676"/>
      <c r="AF565" s="1677"/>
      <c r="AG565" s="1677"/>
      <c r="AH565" s="1678"/>
      <c r="AI565" s="1679"/>
      <c r="AJ565" s="1680"/>
      <c r="AK565" s="1680"/>
      <c r="AL565" s="1681"/>
      <c r="AM565" s="1669"/>
      <c r="AN565" s="1670"/>
      <c r="AO565" s="1670"/>
      <c r="AP565" s="1670"/>
      <c r="AQ565" s="1670"/>
      <c r="AR565" s="1670"/>
      <c r="AS565" s="1671"/>
      <c r="AT565" s="1150"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42947189</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8" t="str">
        <f>C554</f>
        <v>Citibank, N.A.</v>
      </c>
      <c r="H568" s="1358"/>
      <c r="I568" s="1358"/>
      <c r="J568" s="1358"/>
      <c r="K568" s="1358"/>
      <c r="L568" s="1358"/>
      <c r="M568" s="1358"/>
      <c r="N568" s="1358"/>
      <c r="O568" s="1358"/>
      <c r="P568" s="1358"/>
      <c r="Q568" s="1358"/>
      <c r="R568" s="1358"/>
      <c r="S568" s="8"/>
      <c r="T568" s="55" t="s">
        <v>113</v>
      </c>
      <c r="U568" t="s">
        <v>463</v>
      </c>
      <c r="Z568" s="1358" t="str">
        <f>C555</f>
        <v>Citibank, N.A.</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696" t="s">
        <v>2735</v>
      </c>
      <c r="H569" s="1696"/>
      <c r="I569" s="1696"/>
      <c r="J569" s="1696"/>
      <c r="K569" s="1696"/>
      <c r="L569" s="1696"/>
      <c r="M569" s="1696"/>
      <c r="N569" s="1696"/>
      <c r="O569" s="1696"/>
      <c r="P569" s="1696"/>
      <c r="Q569" s="1696"/>
      <c r="R569" s="1696"/>
      <c r="S569" s="8"/>
      <c r="T569" s="22"/>
      <c r="U569" t="s">
        <v>85</v>
      </c>
      <c r="Z569" s="1371" t="s">
        <v>2735</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580</v>
      </c>
      <c r="G570" s="1371" t="s">
        <v>2736</v>
      </c>
      <c r="H570" s="1372"/>
      <c r="I570" s="1372"/>
      <c r="J570" s="1372"/>
      <c r="K570" s="1372"/>
      <c r="L570" s="1372"/>
      <c r="M570" s="1372"/>
      <c r="N570" s="1372"/>
      <c r="O570" s="1372"/>
      <c r="P570" s="1372"/>
      <c r="Q570" s="1372"/>
      <c r="R570" s="1372"/>
      <c r="T570" s="22"/>
      <c r="U570" t="s">
        <v>580</v>
      </c>
      <c r="Z570" s="1459" t="s">
        <v>2736</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2737</v>
      </c>
      <c r="H571" s="1372"/>
      <c r="I571" s="1372"/>
      <c r="J571" s="1372"/>
      <c r="K571" s="1372"/>
      <c r="L571" s="1372"/>
      <c r="M571" s="1372"/>
      <c r="N571" s="1372"/>
      <c r="O571" s="1372"/>
      <c r="P571" s="1372"/>
      <c r="Q571" s="1372"/>
      <c r="R571" s="1372"/>
      <c r="S571" s="8"/>
      <c r="T571" s="22"/>
      <c r="U571" t="s">
        <v>17</v>
      </c>
      <c r="Z571" s="1459" t="s">
        <v>2737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5" t="s">
        <v>2738</v>
      </c>
      <c r="H572" s="1346"/>
      <c r="I572" s="1346"/>
      <c r="J572" s="1346"/>
      <c r="K572" s="1346"/>
      <c r="L572" s="1346"/>
      <c r="O572" s="33" t="s">
        <v>206</v>
      </c>
      <c r="P572" s="1438"/>
      <c r="Q572" s="1438"/>
      <c r="R572" s="1438"/>
      <c r="S572" s="10"/>
      <c r="T572" s="22"/>
      <c r="U572" t="s">
        <v>316</v>
      </c>
      <c r="Z572" s="1345" t="s">
        <v>2738</v>
      </c>
      <c r="AA572" s="1346"/>
      <c r="AB572" s="1346"/>
      <c r="AC572" s="1346"/>
      <c r="AD572" s="1346"/>
      <c r="AE572" s="1346"/>
      <c r="AH572" s="33" t="s">
        <v>206</v>
      </c>
      <c r="AI572" s="1438"/>
      <c r="AJ572" s="1438"/>
      <c r="AK572" s="1438"/>
      <c r="BB572" s="3"/>
      <c r="BC572" s="3"/>
      <c r="BD572" s="3"/>
      <c r="BE572" s="3"/>
      <c r="BF572" s="3"/>
      <c r="BG572" s="3"/>
      <c r="BH572" s="3"/>
      <c r="BI572" s="3"/>
    </row>
    <row r="573" spans="1:61" ht="13" customHeight="1">
      <c r="A573" s="22"/>
      <c r="B573" t="s">
        <v>18</v>
      </c>
      <c r="H573" s="1371" t="s">
        <v>2757</v>
      </c>
      <c r="I573" s="1372"/>
      <c r="J573" s="1372"/>
      <c r="K573" s="1372"/>
      <c r="L573" s="1372"/>
      <c r="M573" s="1372"/>
      <c r="N573" s="1372"/>
      <c r="O573" s="1372"/>
      <c r="P573" s="1372"/>
      <c r="Q573" s="1372"/>
      <c r="R573" s="1372"/>
      <c r="S573" s="8"/>
      <c r="T573" s="22"/>
      <c r="U573" t="s">
        <v>18</v>
      </c>
      <c r="AA573" s="1371" t="s">
        <v>2756</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1" t="s">
        <v>1185</v>
      </c>
      <c r="H574" s="8"/>
      <c r="I574" s="8"/>
      <c r="J574" s="8"/>
      <c r="K574" s="8"/>
      <c r="L574" s="8"/>
      <c r="M574" s="1710"/>
      <c r="N574" s="1710"/>
      <c r="O574" s="1710"/>
      <c r="P574" s="1710"/>
      <c r="Q574" s="1710"/>
      <c r="R574" s="1710"/>
      <c r="S574" s="8"/>
      <c r="T574" s="22"/>
      <c r="U574" s="321" t="s">
        <v>1185</v>
      </c>
      <c r="AA574" s="8"/>
      <c r="AB574" s="8"/>
      <c r="AC574" s="8"/>
      <c r="AD574" s="8"/>
      <c r="AE574" s="8"/>
      <c r="AF574" s="1743"/>
      <c r="AG574" s="1710"/>
      <c r="AH574" s="1710"/>
      <c r="AI574" s="1710"/>
      <c r="AJ574" s="1710"/>
      <c r="AK574" s="1710"/>
      <c r="BB574" s="3"/>
      <c r="BC574" s="3"/>
      <c r="BD574" s="3"/>
      <c r="BE574" s="3"/>
      <c r="BF574" s="3"/>
      <c r="BG574" s="3"/>
      <c r="BH574" s="3"/>
      <c r="BI574" s="3"/>
    </row>
    <row r="575" spans="1:61" ht="13" customHeight="1">
      <c r="A575" s="22"/>
      <c r="B575" t="s">
        <v>20</v>
      </c>
      <c r="N575" s="1331" t="s">
        <v>545</v>
      </c>
      <c r="O575" s="1331"/>
      <c r="T575" s="22"/>
      <c r="U575" t="s">
        <v>20</v>
      </c>
      <c r="AG575" s="1331" t="s">
        <v>545</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8" t="str">
        <f>C556</f>
        <v>Domus Development, LLC</v>
      </c>
      <c r="H577" s="1358"/>
      <c r="I577" s="1358"/>
      <c r="J577" s="1358"/>
      <c r="K577" s="1358"/>
      <c r="L577" s="1358"/>
      <c r="M577" s="1358"/>
      <c r="N577" s="1358"/>
      <c r="O577" s="1358"/>
      <c r="P577" s="1358"/>
      <c r="Q577" s="1358"/>
      <c r="R577" s="1358"/>
      <c r="T577" s="55" t="s">
        <v>581</v>
      </c>
      <c r="U577" t="s">
        <v>463</v>
      </c>
      <c r="Z577" s="1358" t="str">
        <f>C557</f>
        <v>W&amp;D Affordable Equity</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
        <v>2626</v>
      </c>
      <c r="H578" s="1372"/>
      <c r="I578" s="1372"/>
      <c r="J578" s="1372"/>
      <c r="K578" s="1372"/>
      <c r="L578" s="1372"/>
      <c r="M578" s="1372"/>
      <c r="N578" s="1372"/>
      <c r="O578" s="1372"/>
      <c r="P578" s="1372"/>
      <c r="Q578" s="1372"/>
      <c r="R578" s="1372"/>
      <c r="T578" s="22"/>
      <c r="U578" t="s">
        <v>85</v>
      </c>
      <c r="Z578" s="1372" t="s">
        <v>2752</v>
      </c>
      <c r="AA578" s="1372"/>
      <c r="AB578" s="1372"/>
      <c r="AC578" s="1372"/>
      <c r="AD578" s="1372"/>
      <c r="AE578" s="1372"/>
      <c r="AF578" s="1372"/>
      <c r="AG578" s="1372"/>
      <c r="AH578" s="1372"/>
      <c r="AI578" s="1372"/>
      <c r="AJ578" s="1372"/>
      <c r="AK578" s="1372"/>
      <c r="BB578" s="3"/>
      <c r="BC578" s="3"/>
    </row>
    <row r="579" spans="1:55" ht="13" customHeight="1">
      <c r="A579" s="22"/>
      <c r="B579" t="s">
        <v>580</v>
      </c>
      <c r="G579" s="1459" t="s">
        <v>2614</v>
      </c>
      <c r="H579" s="1348"/>
      <c r="I579" s="1348"/>
      <c r="J579" s="1348"/>
      <c r="K579" s="1348"/>
      <c r="L579" s="1348"/>
      <c r="M579" s="1348"/>
      <c r="N579" s="1348"/>
      <c r="O579" s="1348"/>
      <c r="P579" s="1348"/>
      <c r="Q579" s="1348"/>
      <c r="R579" s="1348"/>
      <c r="T579" s="22"/>
      <c r="U579" t="s">
        <v>580</v>
      </c>
      <c r="Z579" s="1348" t="s">
        <v>2683</v>
      </c>
      <c r="AA579" s="1348"/>
      <c r="AB579" s="1348"/>
      <c r="AC579" s="1348"/>
      <c r="AD579" s="1348"/>
      <c r="AE579" s="1348"/>
      <c r="AF579" s="1348"/>
      <c r="AG579" s="1348"/>
      <c r="AH579" s="1348"/>
      <c r="AI579" s="1348"/>
      <c r="AJ579" s="1348"/>
      <c r="AK579" s="1348"/>
      <c r="BB579" s="3"/>
      <c r="BC579" s="3"/>
    </row>
    <row r="580" spans="1:55" ht="13" customHeight="1">
      <c r="A580" s="22"/>
      <c r="B580" t="s">
        <v>17</v>
      </c>
      <c r="G580" s="1459" t="s">
        <v>2612</v>
      </c>
      <c r="H580" s="1348"/>
      <c r="I580" s="1348"/>
      <c r="J580" s="1348"/>
      <c r="K580" s="1348"/>
      <c r="L580" s="1348"/>
      <c r="M580" s="1348"/>
      <c r="N580" s="1348"/>
      <c r="O580" s="1348"/>
      <c r="P580" s="1348"/>
      <c r="Q580" s="1348"/>
      <c r="R580" s="1348"/>
      <c r="T580" s="22"/>
      <c r="U580" t="s">
        <v>17</v>
      </c>
      <c r="Z580" s="1348" t="s">
        <v>2684</v>
      </c>
      <c r="AA580" s="1348"/>
      <c r="AB580" s="1348"/>
      <c r="AC580" s="1348"/>
      <c r="AD580" s="1348"/>
      <c r="AE580" s="1348"/>
      <c r="AF580" s="1348"/>
      <c r="AG580" s="1348"/>
      <c r="AH580" s="1348"/>
      <c r="AI580" s="1348"/>
      <c r="AJ580" s="1348"/>
      <c r="AK580" s="1348"/>
      <c r="BB580" s="3"/>
      <c r="BC580" s="3"/>
    </row>
    <row r="581" spans="1:55" ht="13" customHeight="1">
      <c r="A581" s="22"/>
      <c r="B581" t="s">
        <v>316</v>
      </c>
      <c r="G581" s="1345" t="s">
        <v>2628</v>
      </c>
      <c r="H581" s="1346"/>
      <c r="I581" s="1346"/>
      <c r="J581" s="1346"/>
      <c r="K581" s="1346"/>
      <c r="L581" s="1346"/>
      <c r="O581" s="33" t="s">
        <v>206</v>
      </c>
      <c r="P581" s="1438"/>
      <c r="Q581" s="1438"/>
      <c r="R581" s="1438"/>
      <c r="T581" s="22"/>
      <c r="U581" t="s">
        <v>316</v>
      </c>
      <c r="Z581" s="1346" t="s">
        <v>2685</v>
      </c>
      <c r="AA581" s="1346"/>
      <c r="AB581" s="1346"/>
      <c r="AC581" s="1346"/>
      <c r="AD581" s="1346"/>
      <c r="AE581" s="1346"/>
      <c r="AH581" s="33" t="s">
        <v>206</v>
      </c>
      <c r="AI581" s="1438"/>
      <c r="AJ581" s="1438"/>
      <c r="AK581" s="1438"/>
      <c r="BB581" s="3"/>
      <c r="BC581" s="3"/>
    </row>
    <row r="582" spans="1:55" ht="13" customHeight="1">
      <c r="A582" s="22"/>
      <c r="B582" t="s">
        <v>18</v>
      </c>
      <c r="H582" s="1371" t="s">
        <v>2324</v>
      </c>
      <c r="I582" s="1372"/>
      <c r="J582" s="1372"/>
      <c r="K582" s="1372"/>
      <c r="L582" s="1372"/>
      <c r="M582" s="1372"/>
      <c r="N582" s="1372"/>
      <c r="O582" s="1372"/>
      <c r="P582" s="1372"/>
      <c r="Q582" s="1372"/>
      <c r="R582" s="1372"/>
      <c r="T582" s="22"/>
      <c r="U582" t="s">
        <v>18</v>
      </c>
      <c r="AA582" s="1372" t="s">
        <v>2724</v>
      </c>
      <c r="AB582" s="1372"/>
      <c r="AC582" s="1372"/>
      <c r="AD582" s="1372"/>
      <c r="AE582" s="1372"/>
      <c r="AF582" s="1372"/>
      <c r="AG582" s="1372"/>
      <c r="AH582" s="1372"/>
      <c r="AI582" s="1372"/>
      <c r="AJ582" s="1372"/>
      <c r="AK582" s="1372"/>
      <c r="BB582" s="3"/>
      <c r="BC582" s="3"/>
    </row>
    <row r="583" spans="1:55" ht="13" customHeight="1">
      <c r="A583" s="22"/>
      <c r="B583" t="s">
        <v>20</v>
      </c>
      <c r="N583" s="1331" t="s">
        <v>545</v>
      </c>
      <c r="O583" s="1331"/>
      <c r="T583" s="22"/>
      <c r="U583" t="s">
        <v>20</v>
      </c>
      <c r="AG583" s="1331" t="s">
        <v>545</v>
      </c>
      <c r="AH583" s="1331"/>
      <c r="BB583" s="3"/>
      <c r="BC583" s="3"/>
    </row>
    <row r="584" spans="1:55" ht="13" customHeight="1">
      <c r="A584" s="22"/>
      <c r="T584" s="22"/>
      <c r="BB584" s="3"/>
      <c r="BC584" s="3"/>
    </row>
    <row r="585" spans="1:55" ht="13" customHeight="1">
      <c r="A585" s="55" t="s">
        <v>763</v>
      </c>
      <c r="B585" t="s">
        <v>463</v>
      </c>
      <c r="G585" s="1358" t="str">
        <f>C558</f>
        <v>CDBG-DR MHP 2018</v>
      </c>
      <c r="H585" s="1358"/>
      <c r="I585" s="1358"/>
      <c r="J585" s="1358"/>
      <c r="K585" s="1358"/>
      <c r="L585" s="1358"/>
      <c r="M585" s="1358"/>
      <c r="N585" s="1358"/>
      <c r="O585" s="1358"/>
      <c r="P585" s="1358"/>
      <c r="Q585" s="1358"/>
      <c r="R585" s="1358"/>
      <c r="T585" s="55" t="s">
        <v>584</v>
      </c>
      <c r="U585" t="s">
        <v>463</v>
      </c>
      <c r="Z585" s="1358" t="str">
        <f>C559</f>
        <v>HCD IIG Small Jurisdiction</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
        <v>2720</v>
      </c>
      <c r="H586" s="1372"/>
      <c r="I586" s="1372"/>
      <c r="J586" s="1372"/>
      <c r="K586" s="1372"/>
      <c r="L586" s="1372"/>
      <c r="M586" s="1372"/>
      <c r="N586" s="1372"/>
      <c r="O586" s="1372"/>
      <c r="P586" s="1372"/>
      <c r="Q586" s="1372"/>
      <c r="R586" s="1372"/>
      <c r="T586" s="22"/>
      <c r="U586" t="s">
        <v>85</v>
      </c>
      <c r="Z586" s="1371" t="s">
        <v>2725</v>
      </c>
      <c r="AA586" s="1372"/>
      <c r="AB586" s="1372"/>
      <c r="AC586" s="1372"/>
      <c r="AD586" s="1372"/>
      <c r="AE586" s="1372"/>
      <c r="AF586" s="1372"/>
      <c r="AG586" s="1372"/>
      <c r="AH586" s="1372"/>
      <c r="AI586" s="1372"/>
      <c r="AJ586" s="1372"/>
      <c r="AK586" s="1372"/>
      <c r="BB586" s="3"/>
      <c r="BC586" s="3"/>
    </row>
    <row r="587" spans="1:55" ht="13" customHeight="1">
      <c r="A587" s="22"/>
      <c r="B587" t="s">
        <v>580</v>
      </c>
      <c r="G587" s="1371" t="s">
        <v>2721</v>
      </c>
      <c r="H587" s="1372"/>
      <c r="I587" s="1372"/>
      <c r="J587" s="1372"/>
      <c r="K587" s="1372"/>
      <c r="L587" s="1372"/>
      <c r="M587" s="1372"/>
      <c r="N587" s="1372"/>
      <c r="O587" s="1372"/>
      <c r="P587" s="1372"/>
      <c r="Q587" s="1372"/>
      <c r="R587" s="1372"/>
      <c r="T587" s="22"/>
      <c r="U587" t="s">
        <v>580</v>
      </c>
      <c r="Z587" s="1459" t="s">
        <v>68</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
        <v>2722</v>
      </c>
      <c r="H588" s="1372"/>
      <c r="I588" s="1372"/>
      <c r="J588" s="1372"/>
      <c r="K588" s="1372"/>
      <c r="L588" s="1372"/>
      <c r="M588" s="1372"/>
      <c r="N588" s="1372"/>
      <c r="O588" s="1372"/>
      <c r="P588" s="1372"/>
      <c r="Q588" s="1372"/>
      <c r="R588" s="1372"/>
      <c r="T588" s="22"/>
      <c r="U588" t="s">
        <v>17</v>
      </c>
      <c r="Z588" s="1459" t="s">
        <v>2726</v>
      </c>
      <c r="AA588" s="1348"/>
      <c r="AB588" s="1348"/>
      <c r="AC588" s="1348"/>
      <c r="AD588" s="1348"/>
      <c r="AE588" s="1348"/>
      <c r="AF588" s="1348"/>
      <c r="AG588" s="1348"/>
      <c r="AH588" s="1348"/>
      <c r="AI588" s="1348"/>
      <c r="AJ588" s="1348"/>
      <c r="AK588" s="1348"/>
    </row>
    <row r="589" spans="1:55" ht="13" customHeight="1">
      <c r="A589" s="22"/>
      <c r="B589" t="s">
        <v>316</v>
      </c>
      <c r="G589" s="1345" t="s">
        <v>2723</v>
      </c>
      <c r="H589" s="1346"/>
      <c r="I589" s="1346"/>
      <c r="J589" s="1346"/>
      <c r="K589" s="1346"/>
      <c r="L589" s="1346"/>
      <c r="O589" s="33" t="s">
        <v>206</v>
      </c>
      <c r="P589" s="1438"/>
      <c r="Q589" s="1438"/>
      <c r="R589" s="1438"/>
      <c r="T589" s="22"/>
      <c r="U589" t="s">
        <v>316</v>
      </c>
      <c r="Z589" s="1345" t="s">
        <v>2727</v>
      </c>
      <c r="AA589" s="1346"/>
      <c r="AB589" s="1346"/>
      <c r="AC589" s="1346"/>
      <c r="AD589" s="1346"/>
      <c r="AE589" s="1346"/>
      <c r="AH589" s="33" t="s">
        <v>206</v>
      </c>
      <c r="AI589" s="1438"/>
      <c r="AJ589" s="1438"/>
      <c r="AK589" s="1438"/>
      <c r="AZ589" s="3"/>
      <c r="BA589" s="3"/>
      <c r="BB589" s="3"/>
      <c r="BC589" s="3"/>
    </row>
    <row r="590" spans="1:55" ht="13" customHeight="1">
      <c r="A590" s="22"/>
      <c r="B590" t="s">
        <v>18</v>
      </c>
      <c r="H590" s="1371" t="s">
        <v>2117</v>
      </c>
      <c r="I590" s="1372"/>
      <c r="J590" s="1372"/>
      <c r="K590" s="1372"/>
      <c r="L590" s="1372"/>
      <c r="M590" s="1372"/>
      <c r="N590" s="1372"/>
      <c r="O590" s="1372"/>
      <c r="P590" s="1372"/>
      <c r="Q590" s="1372"/>
      <c r="R590" s="1372"/>
      <c r="T590" s="22"/>
      <c r="U590" t="s">
        <v>18</v>
      </c>
      <c r="AA590" s="1371" t="s">
        <v>2114</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1" t="s">
        <v>545</v>
      </c>
      <c r="O591" s="1331"/>
      <c r="T591" s="22"/>
      <c r="U591" t="s">
        <v>20</v>
      </c>
      <c r="AG591" s="1331" t="s">
        <v>545</v>
      </c>
      <c r="AH591" s="1331"/>
      <c r="AZ591" s="3"/>
      <c r="BA591" s="3"/>
      <c r="BB591" s="3"/>
      <c r="BC591" s="3"/>
    </row>
    <row r="592" spans="1:55" ht="13" customHeight="1">
      <c r="A592" s="22"/>
      <c r="T592" s="22"/>
      <c r="AZ592" s="3"/>
      <c r="BA592" s="3"/>
      <c r="BB592" s="3"/>
      <c r="BC592" s="3"/>
    </row>
    <row r="593" spans="1:55" ht="13" customHeight="1">
      <c r="A593" s="55" t="s">
        <v>455</v>
      </c>
      <c r="B593" t="s">
        <v>463</v>
      </c>
      <c r="G593" s="1358" t="str">
        <f>C560</f>
        <v>Domus Development, LLC</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2" t="s">
        <v>2626</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2" t="s">
        <v>2614</v>
      </c>
      <c r="H595" s="1372"/>
      <c r="I595" s="1372"/>
      <c r="J595" s="1372"/>
      <c r="K595" s="1372"/>
      <c r="L595" s="1372"/>
      <c r="M595" s="1372"/>
      <c r="N595" s="1372"/>
      <c r="O595" s="1372"/>
      <c r="P595" s="1372"/>
      <c r="Q595" s="1372"/>
      <c r="R595" s="1372"/>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2612</v>
      </c>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t="s">
        <v>2628</v>
      </c>
      <c r="H597" s="1346"/>
      <c r="I597" s="1346"/>
      <c r="J597" s="1346"/>
      <c r="K597" s="1346"/>
      <c r="L597" s="1346"/>
      <c r="M597"/>
      <c r="N597"/>
      <c r="O597" s="33" t="s">
        <v>206</v>
      </c>
      <c r="P597" s="1438"/>
      <c r="Q597" s="1438"/>
      <c r="R597" s="1438"/>
      <c r="S597"/>
      <c r="T597" s="22"/>
      <c r="U597" t="s">
        <v>316</v>
      </c>
      <c r="V597"/>
      <c r="W597"/>
      <c r="X597"/>
      <c r="Y597"/>
      <c r="Z597" s="1346"/>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t="s">
        <v>2107</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1" t="s">
        <v>545</v>
      </c>
      <c r="O599" s="1331"/>
      <c r="T599" s="22"/>
      <c r="U599" t="s">
        <v>20</v>
      </c>
      <c r="AG599" s="1331" t="s">
        <v>669</v>
      </c>
      <c r="AH599" s="1331"/>
      <c r="BB599" s="3"/>
      <c r="BC599" s="3"/>
    </row>
    <row r="600" spans="1:55" ht="13" customHeight="1">
      <c r="A600" s="22"/>
      <c r="T600" s="22"/>
      <c r="BB600" s="3"/>
      <c r="BC600" s="3"/>
    </row>
    <row r="601" spans="1:55" ht="13"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580</v>
      </c>
      <c r="G603" s="1372"/>
      <c r="H603" s="1372"/>
      <c r="I603" s="1372"/>
      <c r="J603" s="1372"/>
      <c r="K603" s="1372"/>
      <c r="L603" s="1372"/>
      <c r="M603" s="1372"/>
      <c r="N603" s="1372"/>
      <c r="O603" s="1372"/>
      <c r="P603" s="1372"/>
      <c r="Q603" s="1372"/>
      <c r="R603" s="1372"/>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669</v>
      </c>
      <c r="O607" s="1331"/>
      <c r="P607"/>
      <c r="Q607"/>
      <c r="R607"/>
      <c r="S607"/>
      <c r="T607" s="22"/>
      <c r="U607" t="s">
        <v>20</v>
      </c>
      <c r="V607"/>
      <c r="W607"/>
      <c r="X607"/>
      <c r="Y607"/>
      <c r="Z607"/>
      <c r="AA607"/>
      <c r="AB607"/>
      <c r="AC607"/>
      <c r="AD607"/>
      <c r="AE607"/>
      <c r="AF607"/>
      <c r="AG607" s="1331" t="s">
        <v>669</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358">
        <f>C564</f>
        <v>0</v>
      </c>
      <c r="H609" s="1358"/>
      <c r="I609" s="1358"/>
      <c r="J609" s="1358"/>
      <c r="K609" s="1358"/>
      <c r="L609" s="1358"/>
      <c r="M609" s="1358"/>
      <c r="N609" s="1358"/>
      <c r="O609" s="1358"/>
      <c r="P609" s="1358"/>
      <c r="Q609" s="1358"/>
      <c r="R609" s="1358"/>
      <c r="T609" s="55" t="s">
        <v>363</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580</v>
      </c>
      <c r="G611" s="1372"/>
      <c r="H611" s="1372"/>
      <c r="I611" s="1372"/>
      <c r="J611" s="1372"/>
      <c r="K611" s="1372"/>
      <c r="L611" s="1372"/>
      <c r="M611" s="1372"/>
      <c r="N611" s="1372"/>
      <c r="O611" s="1372"/>
      <c r="P611" s="1372"/>
      <c r="Q611" s="1372"/>
      <c r="R611" s="1372"/>
      <c r="U611" t="s">
        <v>580</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 customHeight="1">
      <c r="B615" t="s">
        <v>20</v>
      </c>
      <c r="N615" s="1331" t="s">
        <v>669</v>
      </c>
      <c r="O615" s="1331"/>
      <c r="U615" t="s">
        <v>20</v>
      </c>
      <c r="AG615" s="1331" t="s">
        <v>669</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700" t="s">
        <v>2104</v>
      </c>
      <c r="C624" s="1700"/>
      <c r="D624" s="1700"/>
      <c r="E624" s="1700"/>
      <c r="F624" s="1700"/>
      <c r="G624" s="1700"/>
      <c r="H624" s="1700"/>
      <c r="I624" s="1700"/>
      <c r="J624" s="1700"/>
      <c r="K624" s="1700"/>
      <c r="L624" s="1700"/>
      <c r="M624" s="1443" t="s">
        <v>2105</v>
      </c>
      <c r="N624" s="1443"/>
      <c r="O624" s="1443"/>
      <c r="P624" s="1443"/>
      <c r="Q624" s="1443" t="s">
        <v>1853</v>
      </c>
      <c r="R624" s="1443"/>
      <c r="S624" s="1443"/>
      <c r="T624" s="1443" t="s">
        <v>1851</v>
      </c>
      <c r="U624" s="1443"/>
      <c r="V624" s="1443"/>
      <c r="W624" s="1701" t="s">
        <v>453</v>
      </c>
      <c r="X624" s="1701"/>
      <c r="Y624" s="1701"/>
      <c r="Z624" s="1432" t="s">
        <v>2134</v>
      </c>
      <c r="AA624" s="1432"/>
      <c r="AB624" s="1433"/>
      <c r="AC624" s="1683" t="s">
        <v>1676</v>
      </c>
      <c r="AD624" s="1684"/>
      <c r="AE624" s="1685"/>
      <c r="AF624" s="1673" t="s">
        <v>1931</v>
      </c>
      <c r="AG624" s="1432"/>
      <c r="AH624" s="1432"/>
      <c r="AI624" s="1432"/>
      <c r="AJ624" s="1433"/>
      <c r="AK624" s="1734" t="s">
        <v>1932</v>
      </c>
      <c r="AL624" s="1735"/>
      <c r="AM624" s="1735"/>
      <c r="AN624" s="1736"/>
      <c r="AO624" s="1443" t="s">
        <v>454</v>
      </c>
      <c r="AP624" s="1443"/>
      <c r="AQ624" s="1443"/>
      <c r="AR624" s="1443"/>
      <c r="AS624" s="1443"/>
      <c r="AU624" s="3"/>
      <c r="AZ624" s="3"/>
      <c r="BA624" s="3"/>
      <c r="BB624" s="3"/>
      <c r="BC624" s="3"/>
    </row>
    <row r="625" spans="2:157" ht="13" customHeight="1">
      <c r="B625" s="1700"/>
      <c r="C625" s="1700"/>
      <c r="D625" s="1700"/>
      <c r="E625" s="1700"/>
      <c r="F625" s="1700"/>
      <c r="G625" s="1700"/>
      <c r="H625" s="1700"/>
      <c r="I625" s="1700"/>
      <c r="J625" s="1700"/>
      <c r="K625" s="1700"/>
      <c r="L625" s="1700"/>
      <c r="M625" s="1443"/>
      <c r="N625" s="1443"/>
      <c r="O625" s="1443"/>
      <c r="P625" s="1443"/>
      <c r="Q625" s="1443"/>
      <c r="R625" s="1443"/>
      <c r="S625" s="1443"/>
      <c r="T625" s="1443"/>
      <c r="U625" s="1443"/>
      <c r="V625" s="1443"/>
      <c r="W625" s="1701"/>
      <c r="X625" s="1701"/>
      <c r="Y625" s="1701"/>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3"/>
      <c r="N626" s="1443"/>
      <c r="O626" s="1443"/>
      <c r="P626" s="1443"/>
      <c r="Q626" s="1443"/>
      <c r="R626" s="1443"/>
      <c r="S626" s="1443"/>
      <c r="T626" s="1443"/>
      <c r="U626" s="1443"/>
      <c r="V626" s="1443"/>
      <c r="W626" s="1701"/>
      <c r="X626" s="1701"/>
      <c r="Y626" s="1701"/>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431" t="s">
        <v>2747</v>
      </c>
      <c r="D627" s="1431"/>
      <c r="E627" s="1431"/>
      <c r="F627" s="1431"/>
      <c r="G627" s="1431"/>
      <c r="H627" s="1431"/>
      <c r="I627" s="1431"/>
      <c r="J627" s="1431"/>
      <c r="K627" s="1431"/>
      <c r="L627" s="1431"/>
      <c r="M627" s="1619" t="s">
        <v>2115</v>
      </c>
      <c r="N627" s="1619"/>
      <c r="O627" s="1619"/>
      <c r="P627" s="1619"/>
      <c r="Q627" s="1426">
        <v>660</v>
      </c>
      <c r="R627" s="1426"/>
      <c r="S627" s="1427"/>
      <c r="T627" s="1425"/>
      <c r="U627" s="1426"/>
      <c r="V627" s="1427"/>
      <c r="W627" s="1439">
        <v>6.6000000000000003E-2</v>
      </c>
      <c r="X627" s="1440"/>
      <c r="Y627" s="1441"/>
      <c r="Z627" s="1480" t="s">
        <v>2133</v>
      </c>
      <c r="AA627" s="1481"/>
      <c r="AB627" s="1482"/>
      <c r="AC627" s="1447">
        <v>1</v>
      </c>
      <c r="AD627" s="1448"/>
      <c r="AE627" s="1449"/>
      <c r="AF627" s="1477">
        <v>86980</v>
      </c>
      <c r="AG627" s="1478"/>
      <c r="AH627" s="1478"/>
      <c r="AI627" s="1478"/>
      <c r="AJ627" s="1479"/>
      <c r="AK627" s="1428"/>
      <c r="AL627" s="1429"/>
      <c r="AM627" s="1429"/>
      <c r="AN627" s="1430"/>
      <c r="AO627" s="1483">
        <v>1223154</v>
      </c>
      <c r="AP627" s="1483"/>
      <c r="AQ627" s="1483"/>
      <c r="AR627" s="1483"/>
      <c r="AS627" s="1483"/>
      <c r="AT627" s="3"/>
      <c r="AU627" s="3"/>
      <c r="AZ627" s="3"/>
      <c r="BA627" s="3"/>
      <c r="BB627" s="3"/>
      <c r="BC627" s="3"/>
      <c r="BD627" s="3"/>
    </row>
    <row r="628" spans="2:157" ht="13" customHeight="1">
      <c r="B628" s="52" t="s">
        <v>113</v>
      </c>
      <c r="C628" s="1431" t="s">
        <v>2625</v>
      </c>
      <c r="D628" s="1431"/>
      <c r="E628" s="1431"/>
      <c r="F628" s="1431"/>
      <c r="G628" s="1431"/>
      <c r="H628" s="1431"/>
      <c r="I628" s="1431"/>
      <c r="J628" s="1431"/>
      <c r="K628" s="1431"/>
      <c r="L628" s="1431"/>
      <c r="M628" s="1619" t="s">
        <v>2108</v>
      </c>
      <c r="N628" s="1619"/>
      <c r="O628" s="1619"/>
      <c r="P628" s="1619"/>
      <c r="Q628" s="1425"/>
      <c r="R628" s="1426"/>
      <c r="S628" s="1427"/>
      <c r="T628" s="1425"/>
      <c r="U628" s="1426"/>
      <c r="V628" s="1427"/>
      <c r="W628" s="1439">
        <v>0</v>
      </c>
      <c r="X628" s="1440"/>
      <c r="Y628" s="1441"/>
      <c r="Z628" s="1480" t="s">
        <v>2133</v>
      </c>
      <c r="AA628" s="1481"/>
      <c r="AB628" s="1482"/>
      <c r="AC628" s="1447"/>
      <c r="AD628" s="1448"/>
      <c r="AE628" s="1449"/>
      <c r="AF628" s="1477"/>
      <c r="AG628" s="1478"/>
      <c r="AH628" s="1478"/>
      <c r="AI628" s="1478"/>
      <c r="AJ628" s="1479"/>
      <c r="AK628" s="1428"/>
      <c r="AL628" s="1429"/>
      <c r="AM628" s="1429"/>
      <c r="AN628" s="1430"/>
      <c r="AO628" s="1468">
        <v>99197</v>
      </c>
      <c r="AP628" s="1469"/>
      <c r="AQ628" s="1469"/>
      <c r="AR628" s="1469"/>
      <c r="AS628" s="1470"/>
      <c r="AT628" s="1150" t="str">
        <f>IF(AND(NOT(C627=""),C628="",NOT(C629="")),"!","")</f>
        <v/>
      </c>
      <c r="AU628" s="3"/>
      <c r="AZ628" s="3"/>
      <c r="BA628" s="3"/>
      <c r="BB628" s="3"/>
      <c r="BC628" s="3"/>
      <c r="BD628" s="3"/>
    </row>
    <row r="629" spans="2:157" ht="13" customHeight="1">
      <c r="B629" s="52" t="s">
        <v>119</v>
      </c>
      <c r="C629" s="1431" t="s">
        <v>2719</v>
      </c>
      <c r="D629" s="1431"/>
      <c r="E629" s="1431"/>
      <c r="F629" s="1431"/>
      <c r="G629" s="1431"/>
      <c r="H629" s="1431"/>
      <c r="I629" s="1431"/>
      <c r="J629" s="1431"/>
      <c r="K629" s="1431"/>
      <c r="L629" s="1431"/>
      <c r="M629" s="1619" t="s">
        <v>2117</v>
      </c>
      <c r="N629" s="1619"/>
      <c r="O629" s="1619"/>
      <c r="P629" s="1619"/>
      <c r="Q629" s="1425">
        <v>660</v>
      </c>
      <c r="R629" s="1426"/>
      <c r="S629" s="1427"/>
      <c r="T629" s="1425"/>
      <c r="U629" s="1426"/>
      <c r="V629" s="1427"/>
      <c r="W629" s="1439">
        <v>0.03</v>
      </c>
      <c r="X629" s="1440"/>
      <c r="Y629" s="1441"/>
      <c r="Z629" s="1480" t="s">
        <v>457</v>
      </c>
      <c r="AA629" s="1481"/>
      <c r="AB629" s="1482"/>
      <c r="AC629" s="1447"/>
      <c r="AD629" s="1448"/>
      <c r="AE629" s="1449"/>
      <c r="AF629" s="1477"/>
      <c r="AG629" s="1478"/>
      <c r="AH629" s="1478"/>
      <c r="AI629" s="1478"/>
      <c r="AJ629" s="1479"/>
      <c r="AK629" s="1428"/>
      <c r="AL629" s="1429"/>
      <c r="AM629" s="1429"/>
      <c r="AN629" s="1430"/>
      <c r="AO629" s="1468">
        <v>13936934</v>
      </c>
      <c r="AP629" s="1469"/>
      <c r="AQ629" s="1469"/>
      <c r="AR629" s="1469"/>
      <c r="AS629" s="1470"/>
      <c r="AT629" s="1150" t="str">
        <f t="shared" ref="AT629:AT638" si="1">IF(AND(NOT(C628=""),C629="",NOT(C630="")),"!","")</f>
        <v/>
      </c>
      <c r="AU629" s="3"/>
      <c r="AZ629" s="3"/>
      <c r="BA629" s="3"/>
      <c r="BB629" s="3"/>
      <c r="BC629" s="3"/>
      <c r="BD629" s="3"/>
    </row>
    <row r="630" spans="2:157" ht="13" customHeight="1">
      <c r="B630" s="52" t="s">
        <v>581</v>
      </c>
      <c r="C630" s="1431" t="s">
        <v>2716</v>
      </c>
      <c r="D630" s="1347"/>
      <c r="E630" s="1347"/>
      <c r="F630" s="1347"/>
      <c r="G630" s="1347"/>
      <c r="H630" s="1347"/>
      <c r="I630" s="1347"/>
      <c r="J630" s="1347"/>
      <c r="K630" s="1347"/>
      <c r="L630" s="1347"/>
      <c r="M630" s="1619" t="s">
        <v>2114</v>
      </c>
      <c r="N630" s="1619"/>
      <c r="O630" s="1619"/>
      <c r="P630" s="1619"/>
      <c r="Q630" s="1425"/>
      <c r="R630" s="1426"/>
      <c r="S630" s="1427"/>
      <c r="T630" s="1425"/>
      <c r="U630" s="1426"/>
      <c r="V630" s="1427"/>
      <c r="W630" s="1439"/>
      <c r="X630" s="1440"/>
      <c r="Y630" s="1441"/>
      <c r="Z630" s="1480" t="s">
        <v>300</v>
      </c>
      <c r="AA630" s="1481"/>
      <c r="AB630" s="1482"/>
      <c r="AC630" s="1447"/>
      <c r="AD630" s="1448"/>
      <c r="AE630" s="1449"/>
      <c r="AF630" s="1477"/>
      <c r="AG630" s="1478"/>
      <c r="AH630" s="1478"/>
      <c r="AI630" s="1478"/>
      <c r="AJ630" s="1479"/>
      <c r="AK630" s="1428"/>
      <c r="AL630" s="1429"/>
      <c r="AM630" s="1429"/>
      <c r="AN630" s="1430"/>
      <c r="AO630" s="1468">
        <v>3449000</v>
      </c>
      <c r="AP630" s="1469"/>
      <c r="AQ630" s="1469"/>
      <c r="AR630" s="1469"/>
      <c r="AS630" s="1470"/>
      <c r="AT630" s="1150" t="str">
        <f t="shared" si="1"/>
        <v/>
      </c>
      <c r="AU630" s="3"/>
      <c r="AZ630" s="3"/>
      <c r="BA630" s="3"/>
      <c r="BB630" s="3"/>
      <c r="BC630" s="3"/>
      <c r="BD630" s="3"/>
    </row>
    <row r="631" spans="2:157" ht="13" customHeight="1">
      <c r="B631" s="52" t="s">
        <v>763</v>
      </c>
      <c r="C631" s="1431" t="s">
        <v>2625</v>
      </c>
      <c r="D631" s="1347"/>
      <c r="E631" s="1347"/>
      <c r="F631" s="1347"/>
      <c r="G631" s="1347"/>
      <c r="H631" s="1347"/>
      <c r="I631" s="1347"/>
      <c r="J631" s="1347"/>
      <c r="K631" s="1347"/>
      <c r="L631" s="1347"/>
      <c r="M631" s="1619" t="s">
        <v>2111</v>
      </c>
      <c r="N631" s="1619"/>
      <c r="O631" s="1619"/>
      <c r="P631" s="1619"/>
      <c r="Q631" s="1425"/>
      <c r="R631" s="1426"/>
      <c r="S631" s="1427"/>
      <c r="T631" s="1425"/>
      <c r="U631" s="1426"/>
      <c r="V631" s="1427"/>
      <c r="W631" s="1439"/>
      <c r="X631" s="1440"/>
      <c r="Y631" s="1441"/>
      <c r="Z631" s="1480" t="s">
        <v>300</v>
      </c>
      <c r="AA631" s="1481"/>
      <c r="AB631" s="1482"/>
      <c r="AC631" s="1447"/>
      <c r="AD631" s="1448"/>
      <c r="AE631" s="1449"/>
      <c r="AF631" s="1477"/>
      <c r="AG631" s="1478"/>
      <c r="AH631" s="1478"/>
      <c r="AI631" s="1478"/>
      <c r="AJ631" s="1479"/>
      <c r="AK631" s="1428"/>
      <c r="AL631" s="1429"/>
      <c r="AM631" s="1429"/>
      <c r="AN631" s="1430"/>
      <c r="AO631" s="1468">
        <v>2513630</v>
      </c>
      <c r="AP631" s="1469"/>
      <c r="AQ631" s="1469"/>
      <c r="AR631" s="1469"/>
      <c r="AS631" s="1470"/>
      <c r="AT631" s="1150" t="str">
        <f t="shared" si="1"/>
        <v/>
      </c>
      <c r="AU631" s="3"/>
      <c r="AZ631" s="3"/>
      <c r="BA631" s="3"/>
      <c r="BB631" s="3"/>
      <c r="BC631" s="3"/>
      <c r="BD631" s="3"/>
    </row>
    <row r="632" spans="2:157" ht="13" customHeight="1">
      <c r="B632" s="52" t="s">
        <v>584</v>
      </c>
      <c r="C632" s="1431" t="s">
        <v>2776</v>
      </c>
      <c r="D632" s="1347"/>
      <c r="E632" s="1347"/>
      <c r="F632" s="1347"/>
      <c r="G632" s="1347"/>
      <c r="H632" s="1347"/>
      <c r="I632" s="1347"/>
      <c r="J632" s="1347"/>
      <c r="K632" s="1347"/>
      <c r="L632" s="1347"/>
      <c r="M632" s="1619" t="s">
        <v>2117</v>
      </c>
      <c r="N632" s="1619"/>
      <c r="O632" s="1619"/>
      <c r="P632" s="1619"/>
      <c r="Q632" s="1425">
        <v>660</v>
      </c>
      <c r="R632" s="1426"/>
      <c r="S632" s="1427"/>
      <c r="T632" s="1425"/>
      <c r="U632" s="1426"/>
      <c r="V632" s="1427"/>
      <c r="W632" s="1439">
        <v>0.03</v>
      </c>
      <c r="X632" s="1440"/>
      <c r="Y632" s="1441"/>
      <c r="Z632" s="1480" t="s">
        <v>457</v>
      </c>
      <c r="AA632" s="1481"/>
      <c r="AB632" s="1482"/>
      <c r="AC632" s="1447"/>
      <c r="AD632" s="1448"/>
      <c r="AE632" s="1449"/>
      <c r="AF632" s="1477"/>
      <c r="AG632" s="1478"/>
      <c r="AH632" s="1478"/>
      <c r="AI632" s="1478"/>
      <c r="AJ632" s="1479"/>
      <c r="AK632" s="1428"/>
      <c r="AL632" s="1429"/>
      <c r="AM632" s="1429"/>
      <c r="AN632" s="1430"/>
      <c r="AO632" s="1468">
        <v>8500000</v>
      </c>
      <c r="AP632" s="1469"/>
      <c r="AQ632" s="1469"/>
      <c r="AR632" s="1469"/>
      <c r="AS632" s="1470"/>
      <c r="AT632" s="1150" t="str">
        <f t="shared" si="1"/>
        <v/>
      </c>
      <c r="AU632" s="3"/>
      <c r="AZ632" s="3"/>
      <c r="BA632" s="3"/>
      <c r="BB632" s="3"/>
      <c r="BC632" s="3"/>
      <c r="BD632" s="3"/>
    </row>
    <row r="633" spans="2:157" ht="27.75" customHeight="1">
      <c r="B633" s="52" t="s">
        <v>455</v>
      </c>
      <c r="C633" s="1431" t="s">
        <v>2772</v>
      </c>
      <c r="D633" s="1347"/>
      <c r="E633" s="1347"/>
      <c r="F633" s="1347"/>
      <c r="G633" s="1347"/>
      <c r="H633" s="1347"/>
      <c r="I633" s="1347"/>
      <c r="J633" s="1347"/>
      <c r="K633" s="1347"/>
      <c r="L633" s="1347"/>
      <c r="M633" s="1619" t="s">
        <v>2117</v>
      </c>
      <c r="N633" s="1619"/>
      <c r="O633" s="1619"/>
      <c r="P633" s="1619"/>
      <c r="Q633" s="1425">
        <v>660</v>
      </c>
      <c r="R633" s="1426"/>
      <c r="S633" s="1427"/>
      <c r="T633" s="1425"/>
      <c r="U633" s="1426"/>
      <c r="V633" s="1427"/>
      <c r="W633" s="1439">
        <v>0.03</v>
      </c>
      <c r="X633" s="1440"/>
      <c r="Y633" s="1441"/>
      <c r="Z633" s="1480" t="s">
        <v>457</v>
      </c>
      <c r="AA633" s="1481"/>
      <c r="AB633" s="1482"/>
      <c r="AC633" s="1447"/>
      <c r="AD633" s="1448"/>
      <c r="AE633" s="1449"/>
      <c r="AF633" s="1477"/>
      <c r="AG633" s="1478"/>
      <c r="AH633" s="1478"/>
      <c r="AI633" s="1478"/>
      <c r="AJ633" s="1479"/>
      <c r="AK633" s="1428"/>
      <c r="AL633" s="1429"/>
      <c r="AM633" s="1429"/>
      <c r="AN633" s="1430"/>
      <c r="AO633" s="1468">
        <v>667000</v>
      </c>
      <c r="AP633" s="1469"/>
      <c r="AQ633" s="1469"/>
      <c r="AR633" s="1469"/>
      <c r="AS633" s="1470"/>
      <c r="AT633" s="1150" t="str">
        <f t="shared" si="1"/>
        <v/>
      </c>
      <c r="AU633" s="3"/>
      <c r="AV633" s="3"/>
      <c r="AW633" s="3"/>
      <c r="AX633" s="3"/>
      <c r="AY633" s="3"/>
      <c r="AZ633" s="3"/>
      <c r="BA633" s="3"/>
      <c r="BB633" s="3"/>
      <c r="BC633" s="3"/>
      <c r="BD633" s="3"/>
    </row>
    <row r="634" spans="2:157" ht="13" customHeight="1">
      <c r="B634" s="52" t="s">
        <v>456</v>
      </c>
      <c r="C634" s="1347"/>
      <c r="D634" s="1347"/>
      <c r="E634" s="1347"/>
      <c r="F634" s="1347"/>
      <c r="G634" s="1347"/>
      <c r="H634" s="1347"/>
      <c r="I634" s="1347"/>
      <c r="J634" s="1347"/>
      <c r="K634" s="1347"/>
      <c r="L634" s="1347"/>
      <c r="M634" s="1619" t="s">
        <v>1184</v>
      </c>
      <c r="N634" s="1619"/>
      <c r="O634" s="1619"/>
      <c r="P634" s="1619"/>
      <c r="Q634" s="1425"/>
      <c r="R634" s="1426"/>
      <c r="S634" s="1427"/>
      <c r="T634" s="1425"/>
      <c r="U634" s="1426"/>
      <c r="V634" s="1427"/>
      <c r="W634" s="1439"/>
      <c r="X634" s="1440"/>
      <c r="Y634" s="1441"/>
      <c r="Z634" s="1480" t="s">
        <v>1184</v>
      </c>
      <c r="AA634" s="1481"/>
      <c r="AB634" s="1482"/>
      <c r="AC634" s="1447"/>
      <c r="AD634" s="1448"/>
      <c r="AE634" s="1449"/>
      <c r="AF634" s="1477"/>
      <c r="AG634" s="1478"/>
      <c r="AH634" s="1478"/>
      <c r="AI634" s="1478"/>
      <c r="AJ634" s="1479"/>
      <c r="AK634" s="1428"/>
      <c r="AL634" s="1429"/>
      <c r="AM634" s="1429"/>
      <c r="AN634" s="1430"/>
      <c r="AO634" s="1468"/>
      <c r="AP634" s="1469"/>
      <c r="AQ634" s="1469"/>
      <c r="AR634" s="1469"/>
      <c r="AS634" s="1470"/>
      <c r="AT634" s="1150" t="str">
        <f t="shared" si="1"/>
        <v/>
      </c>
      <c r="AU634" s="3"/>
      <c r="AV634" s="3"/>
      <c r="AW634" s="3"/>
      <c r="AX634" s="3"/>
      <c r="AY634" s="3"/>
      <c r="AZ634" s="3"/>
      <c r="BA634" s="3" t="s">
        <v>1184</v>
      </c>
      <c r="BB634" s="3"/>
      <c r="BC634" s="3"/>
      <c r="BD634" s="3"/>
    </row>
    <row r="635" spans="2:157" ht="13" customHeight="1">
      <c r="B635" s="52" t="s">
        <v>461</v>
      </c>
      <c r="C635" s="1347"/>
      <c r="D635" s="1347"/>
      <c r="E635" s="1347"/>
      <c r="F635" s="1347"/>
      <c r="G635" s="1347"/>
      <c r="H635" s="1347"/>
      <c r="I635" s="1347"/>
      <c r="J635" s="1347"/>
      <c r="K635" s="1347"/>
      <c r="L635" s="1347"/>
      <c r="M635" s="1619" t="s">
        <v>1184</v>
      </c>
      <c r="N635" s="1619"/>
      <c r="O635" s="1619"/>
      <c r="P635" s="1619"/>
      <c r="Q635" s="1425"/>
      <c r="R635" s="1426"/>
      <c r="S635" s="1427"/>
      <c r="T635" s="1425"/>
      <c r="U635" s="1426"/>
      <c r="V635" s="1427"/>
      <c r="W635" s="1439"/>
      <c r="X635" s="1440"/>
      <c r="Y635" s="1441"/>
      <c r="Z635" s="1480" t="s">
        <v>1184</v>
      </c>
      <c r="AA635" s="1481"/>
      <c r="AB635" s="1482"/>
      <c r="AC635" s="1447"/>
      <c r="AD635" s="1448"/>
      <c r="AE635" s="1449"/>
      <c r="AF635" s="1477"/>
      <c r="AG635" s="1478"/>
      <c r="AH635" s="1478"/>
      <c r="AI635" s="1478"/>
      <c r="AJ635" s="1479"/>
      <c r="AK635" s="1428"/>
      <c r="AL635" s="1429"/>
      <c r="AM635" s="1429"/>
      <c r="AN635" s="1430"/>
      <c r="AO635" s="1468"/>
      <c r="AP635" s="1469"/>
      <c r="AQ635" s="1469"/>
      <c r="AR635" s="1469"/>
      <c r="AS635" s="1470"/>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106.92857142857142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646</v>
      </c>
      <c r="C636" s="1347"/>
      <c r="D636" s="1347"/>
      <c r="E636" s="1347"/>
      <c r="F636" s="1347"/>
      <c r="G636" s="1347"/>
      <c r="H636" s="1347"/>
      <c r="I636" s="1347"/>
      <c r="J636" s="1347"/>
      <c r="K636" s="1347"/>
      <c r="L636" s="1347"/>
      <c r="M636" s="1619" t="s">
        <v>1184</v>
      </c>
      <c r="N636" s="1619"/>
      <c r="O636" s="1619"/>
      <c r="P636" s="1619"/>
      <c r="Q636" s="1425"/>
      <c r="R636" s="1426"/>
      <c r="S636" s="1427"/>
      <c r="T636" s="1425"/>
      <c r="U636" s="1426"/>
      <c r="V636" s="1427"/>
      <c r="W636" s="1439"/>
      <c r="X636" s="1440"/>
      <c r="Y636" s="1441"/>
      <c r="Z636" s="1480" t="s">
        <v>1184</v>
      </c>
      <c r="AA636" s="1481"/>
      <c r="AB636" s="1482"/>
      <c r="AC636" s="1447"/>
      <c r="AD636" s="1448"/>
      <c r="AE636" s="1449"/>
      <c r="AF636" s="1477"/>
      <c r="AG636" s="1478"/>
      <c r="AH636" s="1478"/>
      <c r="AI636" s="1478"/>
      <c r="AJ636" s="1479"/>
      <c r="AK636" s="1428"/>
      <c r="AL636" s="1429"/>
      <c r="AM636" s="1429"/>
      <c r="AN636" s="1430"/>
      <c r="AO636" s="1468"/>
      <c r="AP636" s="1469"/>
      <c r="AQ636" s="1469"/>
      <c r="AR636" s="1469"/>
      <c r="AS636" s="1470"/>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286.71428571428572</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362</v>
      </c>
      <c r="C637" s="1347"/>
      <c r="D637" s="1347"/>
      <c r="E637" s="1347"/>
      <c r="F637" s="1347"/>
      <c r="G637" s="1347"/>
      <c r="H637" s="1347"/>
      <c r="I637" s="1347"/>
      <c r="J637" s="1347"/>
      <c r="K637" s="1347"/>
      <c r="L637" s="1347"/>
      <c r="M637" s="1619" t="s">
        <v>1184</v>
      </c>
      <c r="N637" s="1619"/>
      <c r="O637" s="1619"/>
      <c r="P637" s="1619"/>
      <c r="Q637" s="1425"/>
      <c r="R637" s="1426"/>
      <c r="S637" s="1427"/>
      <c r="T637" s="1425"/>
      <c r="U637" s="1426"/>
      <c r="V637" s="1427"/>
      <c r="W637" s="1439"/>
      <c r="X637" s="1440"/>
      <c r="Y637" s="1441"/>
      <c r="Z637" s="1480" t="s">
        <v>1184</v>
      </c>
      <c r="AA637" s="1481"/>
      <c r="AB637" s="1482"/>
      <c r="AC637" s="1447"/>
      <c r="AD637" s="1448"/>
      <c r="AE637" s="1449"/>
      <c r="AF637" s="1477"/>
      <c r="AG637" s="1478"/>
      <c r="AH637" s="1478"/>
      <c r="AI637" s="1478"/>
      <c r="AJ637" s="1479"/>
      <c r="AK637" s="1428"/>
      <c r="AL637" s="1429"/>
      <c r="AM637" s="1429"/>
      <c r="AN637" s="1430"/>
      <c r="AO637" s="1468"/>
      <c r="AP637" s="1469"/>
      <c r="AQ637" s="1469"/>
      <c r="AR637" s="1469"/>
      <c r="AS637" s="1470"/>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299.64285714285717</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363</v>
      </c>
      <c r="C638" s="1347"/>
      <c r="D638" s="1347"/>
      <c r="E638" s="1347"/>
      <c r="F638" s="1347"/>
      <c r="G638" s="1347"/>
      <c r="H638" s="1347"/>
      <c r="I638" s="1347"/>
      <c r="J638" s="1347"/>
      <c r="K638" s="1347"/>
      <c r="L638" s="1347"/>
      <c r="M638" s="1619" t="s">
        <v>1184</v>
      </c>
      <c r="N638" s="1619"/>
      <c r="O638" s="1619"/>
      <c r="P638" s="1619"/>
      <c r="Q638" s="1425"/>
      <c r="R638" s="1426"/>
      <c r="S638" s="1427"/>
      <c r="T638" s="1425"/>
      <c r="U638" s="1426"/>
      <c r="V638" s="1427"/>
      <c r="W638" s="1439"/>
      <c r="X638" s="1440"/>
      <c r="Y638" s="1441"/>
      <c r="Z638" s="1480" t="s">
        <v>1184</v>
      </c>
      <c r="AA638" s="1481"/>
      <c r="AB638" s="1482"/>
      <c r="AC638" s="1447"/>
      <c r="AD638" s="1448"/>
      <c r="AE638" s="1449"/>
      <c r="AF638" s="1477"/>
      <c r="AG638" s="1478"/>
      <c r="AH638" s="1478"/>
      <c r="AI638" s="1478"/>
      <c r="AJ638" s="1479"/>
      <c r="AK638" s="1428"/>
      <c r="AL638" s="1429"/>
      <c r="AM638" s="1429"/>
      <c r="AN638" s="1430"/>
      <c r="AO638" s="1468"/>
      <c r="AP638" s="1469"/>
      <c r="AQ638" s="1469"/>
      <c r="AR638" s="1469"/>
      <c r="AS638" s="1470"/>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127.48484848484848</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30388915</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512.90909090909088</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12558274</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153.03030303030303</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42947189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174</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466</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463</v>
      </c>
      <c r="G643" s="1358" t="str">
        <f>C627</f>
        <v>Citibank, NA</v>
      </c>
      <c r="H643" s="1358"/>
      <c r="I643" s="1358"/>
      <c r="J643" s="1358"/>
      <c r="K643" s="1358"/>
      <c r="L643" s="1358"/>
      <c r="M643" s="1358"/>
      <c r="N643" s="1358"/>
      <c r="O643" s="1358"/>
      <c r="P643" s="1358"/>
      <c r="Q643" s="1358"/>
      <c r="R643" s="1358"/>
      <c r="S643" s="8"/>
      <c r="T643" s="55" t="s">
        <v>113</v>
      </c>
      <c r="U643" t="s">
        <v>463</v>
      </c>
      <c r="Z643" s="1358" t="str">
        <f>C628</f>
        <v>Domus Development, LLC</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292</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1" t="s">
        <v>2735</v>
      </c>
      <c r="H644" s="1372"/>
      <c r="I644" s="1372"/>
      <c r="J644" s="1372"/>
      <c r="K644" s="1372"/>
      <c r="L644" s="1372"/>
      <c r="M644" s="1372"/>
      <c r="N644" s="1372"/>
      <c r="O644" s="1372"/>
      <c r="P644" s="1372"/>
      <c r="Q644" s="1372"/>
      <c r="R644" s="1372"/>
      <c r="S644" s="8"/>
      <c r="T644" s="22"/>
      <c r="U644" t="s">
        <v>85</v>
      </c>
      <c r="Z644" s="1371" t="s">
        <v>2626</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580</v>
      </c>
      <c r="G645" s="1371" t="s">
        <v>2736</v>
      </c>
      <c r="H645" s="1372"/>
      <c r="I645" s="1372"/>
      <c r="J645" s="1372"/>
      <c r="K645" s="1372"/>
      <c r="L645" s="1372"/>
      <c r="M645" s="1372"/>
      <c r="N645" s="1372"/>
      <c r="O645" s="1372"/>
      <c r="P645" s="1372"/>
      <c r="Q645" s="1372"/>
      <c r="R645" s="1372"/>
      <c r="T645" s="22"/>
      <c r="U645" t="s">
        <v>580</v>
      </c>
      <c r="Z645" s="1459" t="s">
        <v>2614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1" t="s">
        <v>2737</v>
      </c>
      <c r="H646" s="1372"/>
      <c r="I646" s="1372"/>
      <c r="J646" s="1372"/>
      <c r="K646" s="1372"/>
      <c r="L646" s="1372"/>
      <c r="M646" s="1372"/>
      <c r="N646" s="1372"/>
      <c r="O646" s="1372"/>
      <c r="P646" s="1372"/>
      <c r="Q646" s="1372"/>
      <c r="R646" s="1372"/>
      <c r="S646" s="8"/>
      <c r="T646" s="22"/>
      <c r="U646" t="s">
        <v>17</v>
      </c>
      <c r="Z646" s="1459" t="s">
        <v>2612</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316</v>
      </c>
      <c r="G647" s="1345" t="s">
        <v>2738</v>
      </c>
      <c r="H647" s="1346"/>
      <c r="I647" s="1346"/>
      <c r="J647" s="1346"/>
      <c r="K647" s="1346"/>
      <c r="L647" s="1346"/>
      <c r="O647" s="33" t="s">
        <v>206</v>
      </c>
      <c r="P647" s="1438"/>
      <c r="Q647" s="1438"/>
      <c r="R647" s="1438"/>
      <c r="S647" s="10"/>
      <c r="T647" s="22"/>
      <c r="U647" t="s">
        <v>316</v>
      </c>
      <c r="Z647" s="1345" t="s">
        <v>2628</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1" t="s">
        <v>2115</v>
      </c>
      <c r="I648" s="1372"/>
      <c r="J648" s="1372"/>
      <c r="K648" s="1372"/>
      <c r="L648" s="1372"/>
      <c r="M648" s="1372"/>
      <c r="N648" s="1372"/>
      <c r="O648" s="1372"/>
      <c r="P648" s="1372"/>
      <c r="Q648" s="1372"/>
      <c r="R648" s="1372"/>
      <c r="S648" s="8"/>
      <c r="T648" s="22"/>
      <c r="U648" t="s">
        <v>18</v>
      </c>
      <c r="AA648" s="1371" t="s">
        <v>2324</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463</v>
      </c>
      <c r="G651" s="1358" t="str">
        <f>C629</f>
        <v>CDBG-DR MHP 2018</v>
      </c>
      <c r="H651" s="1358"/>
      <c r="I651" s="1358"/>
      <c r="J651" s="1358"/>
      <c r="K651" s="1358"/>
      <c r="L651" s="1358"/>
      <c r="M651" s="1358"/>
      <c r="N651" s="1358"/>
      <c r="O651" s="1358"/>
      <c r="P651" s="1358"/>
      <c r="Q651" s="1358"/>
      <c r="R651" s="1358"/>
      <c r="T651" s="55" t="s">
        <v>581</v>
      </c>
      <c r="U651" t="s">
        <v>463</v>
      </c>
      <c r="Z651" s="1358" t="str">
        <f>C630</f>
        <v>HCD IIG Small Jurisdiction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2720</v>
      </c>
      <c r="H652" s="1372"/>
      <c r="I652" s="1372"/>
      <c r="J652" s="1372"/>
      <c r="K652" s="1372"/>
      <c r="L652" s="1372"/>
      <c r="M652" s="1372"/>
      <c r="N652" s="1372"/>
      <c r="O652" s="1372"/>
      <c r="P652" s="1372"/>
      <c r="Q652" s="1372"/>
      <c r="R652" s="1372"/>
      <c r="T652" s="22"/>
      <c r="U652" t="s">
        <v>85</v>
      </c>
      <c r="Z652" s="1372" t="s">
        <v>2725</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580</v>
      </c>
      <c r="G653" s="1348" t="s">
        <v>2721</v>
      </c>
      <c r="H653" s="1348"/>
      <c r="I653" s="1348"/>
      <c r="J653" s="1348"/>
      <c r="K653" s="1348"/>
      <c r="L653" s="1348"/>
      <c r="M653" s="1348"/>
      <c r="N653" s="1348"/>
      <c r="O653" s="1348"/>
      <c r="P653" s="1348"/>
      <c r="Q653" s="1348"/>
      <c r="R653" s="1348"/>
      <c r="T653" s="22"/>
      <c r="U653" t="s">
        <v>580</v>
      </c>
      <c r="Z653" s="1348" t="s">
        <v>68</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8" t="s">
        <v>2722</v>
      </c>
      <c r="H654" s="1348"/>
      <c r="I654" s="1348"/>
      <c r="J654" s="1348"/>
      <c r="K654" s="1348"/>
      <c r="L654" s="1348"/>
      <c r="M654" s="1348"/>
      <c r="N654" s="1348"/>
      <c r="O654" s="1348"/>
      <c r="P654" s="1348"/>
      <c r="Q654" s="1348"/>
      <c r="R654" s="1348"/>
      <c r="T654" s="22"/>
      <c r="U654" t="s">
        <v>17</v>
      </c>
      <c r="Z654" s="1348" t="s">
        <v>2726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316</v>
      </c>
      <c r="G655" s="1346" t="s">
        <v>2723</v>
      </c>
      <c r="H655" s="1346"/>
      <c r="I655" s="1346"/>
      <c r="J655" s="1346"/>
      <c r="K655" s="1346"/>
      <c r="L655" s="1346"/>
      <c r="O655" s="33" t="s">
        <v>206</v>
      </c>
      <c r="P655" s="1438"/>
      <c r="Q655" s="1438"/>
      <c r="R655" s="1438"/>
      <c r="T655" s="22"/>
      <c r="U655" t="s">
        <v>316</v>
      </c>
      <c r="Z655" s="1346" t="s">
        <v>2727</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1" t="s">
        <v>2117</v>
      </c>
      <c r="I656" s="1372"/>
      <c r="J656" s="1372"/>
      <c r="K656" s="1372"/>
      <c r="L656" s="1372"/>
      <c r="M656" s="1372"/>
      <c r="N656" s="1372"/>
      <c r="O656" s="1372"/>
      <c r="P656" s="1372"/>
      <c r="Q656" s="1372"/>
      <c r="R656" s="1372"/>
      <c r="T656" s="22"/>
      <c r="U656" t="s">
        <v>18</v>
      </c>
      <c r="AA656" s="1371" t="s">
        <v>2114</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763</v>
      </c>
      <c r="B659" t="s">
        <v>463</v>
      </c>
      <c r="G659" s="1358" t="str">
        <f>C631</f>
        <v>Domus Development, LLC</v>
      </c>
      <c r="H659" s="1358"/>
      <c r="I659" s="1358"/>
      <c r="J659" s="1358"/>
      <c r="K659" s="1358"/>
      <c r="L659" s="1358"/>
      <c r="M659" s="1358"/>
      <c r="N659" s="1358"/>
      <c r="O659" s="1358"/>
      <c r="P659" s="1358"/>
      <c r="Q659" s="1358"/>
      <c r="R659" s="1358"/>
      <c r="T659" s="55" t="s">
        <v>584</v>
      </c>
      <c r="U659" t="s">
        <v>463</v>
      </c>
      <c r="Z659" s="1358" t="str">
        <f>C632</f>
        <v>CDBG DR-MHP 2020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t="s">
        <v>2626</v>
      </c>
      <c r="H660" s="1372"/>
      <c r="I660" s="1372"/>
      <c r="J660" s="1372"/>
      <c r="K660" s="1372"/>
      <c r="L660" s="1372"/>
      <c r="M660" s="1372"/>
      <c r="N660" s="1372"/>
      <c r="O660" s="1372"/>
      <c r="P660" s="1372"/>
      <c r="Q660" s="1372"/>
      <c r="R660" s="1372"/>
      <c r="T660" s="22"/>
      <c r="U660" t="s">
        <v>85</v>
      </c>
      <c r="Z660" s="1372" t="s">
        <v>2767</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580</v>
      </c>
      <c r="G661" s="1372" t="s">
        <v>2614</v>
      </c>
      <c r="H661" s="1372"/>
      <c r="I661" s="1372"/>
      <c r="J661" s="1372"/>
      <c r="K661" s="1372"/>
      <c r="L661" s="1372"/>
      <c r="M661" s="1372"/>
      <c r="N661" s="1372"/>
      <c r="O661" s="1372"/>
      <c r="P661" s="1372"/>
      <c r="Q661" s="1372"/>
      <c r="R661" s="1372"/>
      <c r="T661" s="22"/>
      <c r="U661" t="s">
        <v>580</v>
      </c>
      <c r="Z661" s="1348" t="s">
        <v>2768</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t="s">
        <v>2612</v>
      </c>
      <c r="H662" s="1372"/>
      <c r="I662" s="1372"/>
      <c r="J662" s="1372"/>
      <c r="K662" s="1372"/>
      <c r="L662" s="1372"/>
      <c r="M662" s="1372"/>
      <c r="N662" s="1372"/>
      <c r="O662" s="1372"/>
      <c r="P662" s="1372"/>
      <c r="Q662" s="1372"/>
      <c r="R662" s="1372"/>
      <c r="T662" s="22"/>
      <c r="U662" t="s">
        <v>17</v>
      </c>
      <c r="Z662" s="1348" t="s">
        <v>2769</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316</v>
      </c>
      <c r="G663" s="1346" t="s">
        <v>2628</v>
      </c>
      <c r="H663" s="1346"/>
      <c r="I663" s="1346"/>
      <c r="J663" s="1346"/>
      <c r="K663" s="1346"/>
      <c r="L663" s="1346"/>
      <c r="O663" s="33" t="s">
        <v>206</v>
      </c>
      <c r="P663" s="1438"/>
      <c r="Q663" s="1438"/>
      <c r="R663" s="1438"/>
      <c r="T663" s="22"/>
      <c r="U663" t="s">
        <v>316</v>
      </c>
      <c r="Z663" s="1345" t="s">
        <v>2770</v>
      </c>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1" t="s">
        <v>2742</v>
      </c>
      <c r="I664" s="1372"/>
      <c r="J664" s="1372"/>
      <c r="K664" s="1372"/>
      <c r="L664" s="1372"/>
      <c r="M664" s="1372"/>
      <c r="N664" s="1372"/>
      <c r="O664" s="1372"/>
      <c r="P664" s="1372"/>
      <c r="Q664" s="1372"/>
      <c r="R664" s="1372"/>
      <c r="T664" s="22"/>
      <c r="U664" t="s">
        <v>18</v>
      </c>
      <c r="AA664" s="1372" t="s">
        <v>2117</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1" t="s">
        <v>545</v>
      </c>
      <c r="O665" s="1331"/>
      <c r="T665" s="22"/>
      <c r="U665" t="s">
        <v>20</v>
      </c>
      <c r="AG665" s="1331" t="s">
        <v>669</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455</v>
      </c>
      <c r="B667" t="s">
        <v>463</v>
      </c>
      <c r="G667" s="1358" t="str">
        <f>C633</f>
        <v>CDBG DR-MHP 2018 Supplemental</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t="s">
        <v>2720</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580</v>
      </c>
      <c r="G669" s="1372" t="s">
        <v>2721</v>
      </c>
      <c r="H669" s="1372"/>
      <c r="I669" s="1372"/>
      <c r="J669" s="1372"/>
      <c r="K669" s="1372"/>
      <c r="L669" s="1372"/>
      <c r="M669" s="1372"/>
      <c r="N669" s="1372"/>
      <c r="O669" s="1372"/>
      <c r="P669" s="1372"/>
      <c r="Q669" s="1372"/>
      <c r="R669" s="1372"/>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t="s">
        <v>2722</v>
      </c>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693.28571428571422</v>
      </c>
      <c r="ED670" s="1446"/>
      <c r="EE670" s="1446"/>
      <c r="EF670" s="1446"/>
      <c r="EG670" s="1446"/>
      <c r="EH670" s="1446">
        <f>SUMIF(EH635:EL669,"&gt;0")</f>
        <v>793.42424242424238</v>
      </c>
      <c r="EI670" s="1446"/>
      <c r="EJ670" s="1446"/>
      <c r="EK670" s="1446"/>
      <c r="EL670" s="1446"/>
      <c r="EM670" s="1446">
        <f>SUMIF(EM635:EQ669,"&gt;0")</f>
        <v>932</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6" t="s">
        <v>2723</v>
      </c>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t="s">
        <v>2117</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669</v>
      </c>
      <c r="O673" s="1331"/>
      <c r="T673" s="22"/>
      <c r="U673" t="s">
        <v>20</v>
      </c>
      <c r="AG673" s="1331" t="s">
        <v>669</v>
      </c>
      <c r="AH673" s="1331"/>
      <c r="AZ673" s="3"/>
    </row>
    <row r="674" spans="1:52" ht="13" customHeight="1">
      <c r="A674" s="22"/>
      <c r="T674" s="22"/>
      <c r="AZ674" s="3"/>
    </row>
    <row r="675" spans="1:52" ht="13"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580</v>
      </c>
      <c r="G677" s="1372"/>
      <c r="H677" s="1372"/>
      <c r="I677" s="1372"/>
      <c r="J677" s="1372"/>
      <c r="K677" s="1372"/>
      <c r="L677" s="1372"/>
      <c r="M677" s="1372"/>
      <c r="N677" s="1372"/>
      <c r="O677" s="1372"/>
      <c r="P677" s="1372"/>
      <c r="Q677" s="1372"/>
      <c r="R677" s="1372"/>
      <c r="T677" s="22"/>
      <c r="U677" t="s">
        <v>580</v>
      </c>
      <c r="Z677" s="1348"/>
      <c r="AA677" s="1348"/>
      <c r="AB677" s="1348"/>
      <c r="AC677" s="1348"/>
      <c r="AD677" s="1348"/>
      <c r="AE677" s="1348"/>
      <c r="AF677" s="1348"/>
      <c r="AG677" s="1348"/>
      <c r="AH677" s="1348"/>
      <c r="AI677" s="1348"/>
      <c r="AJ677" s="1348"/>
      <c r="AK677" s="1348"/>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1" t="s">
        <v>669</v>
      </c>
      <c r="O681" s="1331"/>
      <c r="T681" s="22"/>
      <c r="U681" t="s">
        <v>20</v>
      </c>
      <c r="AG681" s="1331" t="s">
        <v>669</v>
      </c>
      <c r="AH681" s="1331"/>
      <c r="AZ681" s="3"/>
    </row>
    <row r="682" spans="1:52" ht="13" customHeight="1">
      <c r="A682" s="22"/>
      <c r="T682" s="22"/>
      <c r="AZ682" s="3"/>
    </row>
    <row r="683" spans="1:52" ht="13" customHeight="1">
      <c r="A683" s="55" t="s">
        <v>362</v>
      </c>
      <c r="B683" t="s">
        <v>463</v>
      </c>
      <c r="G683" s="1358">
        <f>C637</f>
        <v>0</v>
      </c>
      <c r="H683" s="1358"/>
      <c r="I683" s="1358"/>
      <c r="J683" s="1358"/>
      <c r="K683" s="1358"/>
      <c r="L683" s="1358"/>
      <c r="M683" s="1358"/>
      <c r="N683" s="1358"/>
      <c r="O683" s="1358"/>
      <c r="P683" s="1358"/>
      <c r="Q683" s="1358"/>
      <c r="R683" s="1358"/>
      <c r="T683" s="55" t="s">
        <v>363</v>
      </c>
      <c r="U683" t="s">
        <v>463</v>
      </c>
      <c r="Z683" s="1358">
        <f>C638</f>
        <v>0</v>
      </c>
      <c r="AA683" s="1358"/>
      <c r="AB683" s="1358"/>
      <c r="AC683" s="1358"/>
      <c r="AD683" s="1358"/>
      <c r="AE683" s="1358"/>
      <c r="AF683" s="1358"/>
      <c r="AG683" s="1358"/>
      <c r="AH683" s="1358"/>
      <c r="AI683" s="1358"/>
      <c r="AJ683" s="1358"/>
      <c r="AK683" s="1358"/>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580</v>
      </c>
      <c r="G685" s="1372"/>
      <c r="H685" s="1372"/>
      <c r="I685" s="1372"/>
      <c r="J685" s="1372"/>
      <c r="K685" s="1372"/>
      <c r="L685" s="1372"/>
      <c r="M685" s="1372"/>
      <c r="N685" s="1372"/>
      <c r="O685" s="1372"/>
      <c r="P685" s="1372"/>
      <c r="Q685" s="1372"/>
      <c r="R685" s="1372"/>
      <c r="U685" t="s">
        <v>580</v>
      </c>
      <c r="Z685" s="1348"/>
      <c r="AA685" s="1348"/>
      <c r="AB685" s="1348"/>
      <c r="AC685" s="1348"/>
      <c r="AD685" s="1348"/>
      <c r="AE685" s="1348"/>
      <c r="AF685" s="1348"/>
      <c r="AG685" s="1348"/>
      <c r="AH685" s="1348"/>
      <c r="AI685" s="1348"/>
      <c r="AJ685" s="1348"/>
      <c r="AK685" s="1348"/>
      <c r="AZ685" s="3"/>
    </row>
    <row r="686" spans="1:52" ht="13"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1" t="s">
        <v>669</v>
      </c>
      <c r="O689" s="1331"/>
      <c r="U689" t="s">
        <v>20</v>
      </c>
      <c r="AG689" s="1331" t="s">
        <v>669</v>
      </c>
      <c r="AH689" s="1331"/>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545</v>
      </c>
      <c r="AF693" s="1331"/>
      <c r="AZ693" s="3"/>
    </row>
    <row r="694" spans="1:67" ht="13" customHeight="1">
      <c r="B694" s="135"/>
      <c r="C694" s="135"/>
      <c r="D694" s="136" t="s">
        <v>438</v>
      </c>
      <c r="E694" s="135"/>
      <c r="F694" s="135"/>
      <c r="G694" s="135"/>
      <c r="H694" s="135"/>
      <c r="AE694" s="1331" t="s">
        <v>545</v>
      </c>
      <c r="AF694" s="1331"/>
      <c r="AZ694" s="3"/>
    </row>
    <row r="695" spans="1:67" ht="13" customHeight="1">
      <c r="B695" s="135"/>
      <c r="C695" s="135"/>
      <c r="D695" s="136" t="s">
        <v>920</v>
      </c>
      <c r="E695" s="135"/>
      <c r="F695" s="135"/>
      <c r="G695" s="135"/>
      <c r="H695" s="135"/>
      <c r="AE695" s="1692">
        <v>45685</v>
      </c>
      <c r="AF695" s="1692"/>
      <c r="AG695" s="1692"/>
      <c r="AH695" s="1692"/>
      <c r="AI695" s="1692"/>
    </row>
    <row r="696" spans="1:67" ht="13" customHeight="1">
      <c r="B696" s="135"/>
      <c r="C696" s="135"/>
      <c r="D696" s="318" t="s">
        <v>983</v>
      </c>
      <c r="E696" s="135"/>
      <c r="F696" s="135"/>
      <c r="G696" s="135"/>
      <c r="H696" s="135"/>
      <c r="AE696" s="1702">
        <v>45755</v>
      </c>
      <c r="AF696" s="1702"/>
      <c r="AG696" s="1702"/>
      <c r="AH696" s="1702"/>
      <c r="AI696" s="1702"/>
    </row>
    <row r="697" spans="1:67" ht="13" customHeight="1">
      <c r="B697" s="135"/>
      <c r="C697" s="135"/>
    </row>
    <row r="698" spans="1:67" ht="13" customHeight="1">
      <c r="B698" s="135"/>
      <c r="C698" s="135"/>
      <c r="D698" s="136" t="s">
        <v>816</v>
      </c>
      <c r="E698" s="135"/>
      <c r="F698" s="135"/>
      <c r="G698" s="135"/>
      <c r="H698" s="135"/>
      <c r="AE698" s="1692">
        <v>45938</v>
      </c>
      <c r="AF698" s="1692"/>
      <c r="AG698" s="1692"/>
      <c r="AH698" s="1692"/>
      <c r="AI698" s="1692"/>
    </row>
    <row r="699" spans="1:67" ht="13" customHeight="1">
      <c r="B699" s="135"/>
      <c r="C699" s="135"/>
      <c r="D699" s="136" t="s">
        <v>436</v>
      </c>
      <c r="E699" s="135"/>
      <c r="F699" s="135"/>
      <c r="G699" s="135"/>
      <c r="H699" s="135"/>
      <c r="AE699" s="1662">
        <v>0.51129999999999998</v>
      </c>
      <c r="AF699" s="1662"/>
      <c r="AG699" s="1662"/>
      <c r="AH699" s="1662"/>
      <c r="AI699" s="1662"/>
    </row>
    <row r="700" spans="1:67" ht="13"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669</v>
      </c>
      <c r="AF702" s="1331"/>
      <c r="AZ702" s="4" t="s">
        <v>324</v>
      </c>
    </row>
    <row r="703" spans="1:67" ht="13" customHeight="1">
      <c r="B703" s="135"/>
      <c r="C703" s="135"/>
      <c r="D703" s="136" t="s">
        <v>442</v>
      </c>
      <c r="E703" s="135"/>
      <c r="F703" s="135"/>
      <c r="G703" s="135"/>
      <c r="H703" s="135"/>
      <c r="W703" s="1371" t="s">
        <v>2706</v>
      </c>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1" t="s">
        <v>2706</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5" t="s">
        <v>2706</v>
      </c>
      <c r="K705" s="1346"/>
      <c r="L705" s="1346"/>
      <c r="M705" s="1346"/>
      <c r="N705" s="1346"/>
      <c r="O705" s="1346"/>
      <c r="P705" s="4" t="s">
        <v>206</v>
      </c>
      <c r="Q705" s="4"/>
      <c r="R705" s="1459" t="s">
        <v>2706</v>
      </c>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20" t="s">
        <v>1679</v>
      </c>
      <c r="L714" s="1721"/>
      <c r="M714" s="1721"/>
      <c r="N714" s="1722"/>
      <c r="O714" s="1362" t="s">
        <v>447</v>
      </c>
      <c r="P714" s="1363"/>
      <c r="Q714" s="1363"/>
      <c r="R714" s="1363"/>
      <c r="S714" s="1364"/>
      <c r="T714" s="1660" t="s">
        <v>1950</v>
      </c>
      <c r="U714" s="1363"/>
      <c r="V714" s="1363"/>
      <c r="W714" s="1364"/>
      <c r="X714" s="1660" t="s">
        <v>1952</v>
      </c>
      <c r="Y714" s="1363"/>
      <c r="Z714" s="1363"/>
      <c r="AA714" s="1363"/>
      <c r="AB714" s="1364"/>
      <c r="AC714" s="1660" t="s">
        <v>1951</v>
      </c>
      <c r="AD714" s="1363"/>
      <c r="AE714" s="1363"/>
      <c r="AF714" s="1363"/>
      <c r="AG714" s="1364"/>
      <c r="AH714" s="1660" t="s">
        <v>1953</v>
      </c>
      <c r="AI714" s="1363"/>
      <c r="AJ714" s="1364"/>
      <c r="AK714" s="1660"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71"/>
      <c r="CJ717" s="1472"/>
      <c r="CK717" s="121" t="s">
        <v>475</v>
      </c>
      <c r="CL717" s="122"/>
      <c r="CM717" s="1471"/>
      <c r="CN717" s="1472"/>
      <c r="CO717" s="3"/>
      <c r="CP717" s="1387" t="s">
        <v>633</v>
      </c>
      <c r="CQ717" s="1388"/>
      <c r="CR717" s="1388"/>
      <c r="CS717" s="1388"/>
      <c r="CT717" s="1389"/>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3" customHeight="1">
      <c r="A718" s="4"/>
      <c r="B718" s="1336" t="s">
        <v>325</v>
      </c>
      <c r="C718" s="1337"/>
      <c r="D718" s="1337"/>
      <c r="E718" s="1337"/>
      <c r="F718" s="1338"/>
      <c r="G718" s="1349">
        <v>3</v>
      </c>
      <c r="H718" s="1350"/>
      <c r="I718" s="1350"/>
      <c r="J718" s="1351"/>
      <c r="K718" s="1342">
        <v>650</v>
      </c>
      <c r="L718" s="1343"/>
      <c r="M718" s="1343"/>
      <c r="N718" s="1344"/>
      <c r="O718" s="1339">
        <v>499</v>
      </c>
      <c r="P718" s="1340"/>
      <c r="Q718" s="1340"/>
      <c r="R718" s="1340"/>
      <c r="S718" s="1341"/>
      <c r="T718" s="1339">
        <v>11</v>
      </c>
      <c r="U718" s="1340"/>
      <c r="V718" s="1340"/>
      <c r="W718" s="1341"/>
      <c r="X718" s="1352">
        <f t="shared" ref="X718:X741" si="8">O718+T718</f>
        <v>510</v>
      </c>
      <c r="Y718" s="1353"/>
      <c r="Z718" s="1353"/>
      <c r="AA718" s="1353"/>
      <c r="AB718" s="1354"/>
      <c r="AC718" s="1359">
        <v>0.3</v>
      </c>
      <c r="AD718" s="1360"/>
      <c r="AE718" s="1360"/>
      <c r="AF718" s="1360"/>
      <c r="AG718" s="1361"/>
      <c r="AH718" s="1355">
        <f>IF($AC718&gt;0,($X718/$AZ718), "")</f>
        <v>0.3</v>
      </c>
      <c r="AI718" s="1356"/>
      <c r="AJ718" s="1357"/>
      <c r="AK718" s="1336" t="s">
        <v>591</v>
      </c>
      <c r="AL718" s="1337"/>
      <c r="AM718" s="1337"/>
      <c r="AN718" s="1337"/>
      <c r="AO718" s="1338"/>
      <c r="AP718" s="3"/>
      <c r="AQ718" s="3"/>
      <c r="AR718" s="3"/>
      <c r="AS718" s="3"/>
      <c r="AZ718" s="118">
        <f>IF($G718=0,"N/A",VLOOKUP($T$189,TC_Rent,(MATCH($B718,bedrooms,FALSE)),FALSE))</f>
        <v>1700</v>
      </c>
      <c r="BA718" s="3"/>
      <c r="BB718" s="3"/>
      <c r="BC718" s="3"/>
      <c r="BD718" s="3"/>
      <c r="BE718" s="205"/>
      <c r="BF718" s="294">
        <f t="shared" ref="BF718:BF752" si="9">G718</f>
        <v>3</v>
      </c>
      <c r="BG718" s="298">
        <f t="shared" ref="BG718:BG752" si="10">IF($BF$753=0,0,BF718/$BF$753)</f>
        <v>4.7619047619047616E-2</v>
      </c>
      <c r="BH718" s="299">
        <f t="shared" ref="BH718:BH752" si="11">IF(BG718=0,"",BG718*AC718)</f>
        <v>1.4285714285714284E-2</v>
      </c>
      <c r="BI718" s="3"/>
      <c r="BJ718" s="3"/>
      <c r="BK718" s="3"/>
      <c r="BL718" s="3"/>
      <c r="BM718" s="3"/>
      <c r="BN718" s="3"/>
      <c r="BS718" s="294">
        <f t="shared" ref="BS718:BS752" si="12">G718</f>
        <v>3</v>
      </c>
      <c r="BT718" s="298">
        <f t="shared" ref="BT718:BT752" si="13">IF($BS$753=0,0,BS718/$BS$753)</f>
        <v>4.7619047619047616E-2</v>
      </c>
      <c r="BU718" s="299">
        <f t="shared" ref="BU718:BU752" si="14">IF(BT718=0,"",BT718*AH718)</f>
        <v>1.4285714285714284E-2</v>
      </c>
      <c r="CC718" s="3"/>
      <c r="CD718" s="3"/>
      <c r="CE718" s="3"/>
      <c r="CF718" s="3"/>
      <c r="CG718" s="1465">
        <f>IF(AND(AC718&lt;=0.5,AC718&gt;=0.36),1,0)</f>
        <v>0</v>
      </c>
      <c r="CH718" s="1466"/>
      <c r="CI718" s="1471">
        <f>IF(CG718=1,G718,0)</f>
        <v>0</v>
      </c>
      <c r="CJ718" s="1472"/>
      <c r="CK718" s="1465">
        <f t="shared" ref="CK718:CK752" si="15">IF(AND(AC718&lt;=0.35,AC718&gt;0),1,0)</f>
        <v>1</v>
      </c>
      <c r="CL718" s="1466"/>
      <c r="CM718" s="1471">
        <f t="shared" ref="CM718:CM752" si="16">IF(CK718=1,G718,0)</f>
        <v>3</v>
      </c>
      <c r="CN718" s="1472"/>
      <c r="CO718" s="3"/>
      <c r="CP718" s="1460">
        <f t="shared" ref="CP718:CP752" si="17">IF(B718="SRO/Studio",G718,0)</f>
        <v>0</v>
      </c>
      <c r="CQ718" s="1461"/>
      <c r="CR718" s="1461"/>
      <c r="CS718" s="1461"/>
      <c r="CT718" s="1462"/>
      <c r="CU718" s="1444">
        <f t="shared" ref="CU718:CU752" si="18">IF(B718="1 Bedroom",G718,0)</f>
        <v>3</v>
      </c>
      <c r="CV718" s="1444"/>
      <c r="CW718" s="1444"/>
      <c r="CX718" s="1444"/>
      <c r="CY718" s="1444"/>
      <c r="CZ718" s="1444">
        <f t="shared" ref="CZ718:CZ752" si="19">IF(B718="2 Bedrooms",G718,0)</f>
        <v>0</v>
      </c>
      <c r="DA718" s="1444"/>
      <c r="DB718" s="1444"/>
      <c r="DC718" s="1444"/>
      <c r="DD718" s="1444"/>
      <c r="DE718" s="1444">
        <f t="shared" ref="DE718:DE752" si="20">IF(B718="3 Bedrooms",G718,0)</f>
        <v>0</v>
      </c>
      <c r="DF718" s="1444"/>
      <c r="DG718" s="1444"/>
      <c r="DH718" s="1444"/>
      <c r="DI718" s="1444"/>
      <c r="DJ718" s="1444">
        <f t="shared" ref="DJ718:DJ752" si="21">IF(B718="4 Bedrooms",G718,0)</f>
        <v>0</v>
      </c>
      <c r="DK718" s="1444"/>
      <c r="DL718" s="1444"/>
      <c r="DM718" s="1444"/>
      <c r="DN718" s="1444"/>
      <c r="DO718" s="1444">
        <f t="shared" ref="DO718:DO752" si="22">IF(B718="5 Bedrooms",G718,0)</f>
        <v>0</v>
      </c>
      <c r="DP718" s="1444"/>
      <c r="DQ718" s="1444"/>
      <c r="DR718" s="1444"/>
      <c r="DS718" s="1444"/>
      <c r="DT718" s="6"/>
      <c r="DU718" s="1445">
        <f t="shared" ref="DU718:DU752" si="23">IF(AND(B718="SRO/Studio",AC718&lt;=0.3),G718,0)</f>
        <v>0</v>
      </c>
      <c r="DV718" s="1445"/>
      <c r="DW718" s="1445"/>
      <c r="DX718" s="1445"/>
      <c r="DY718" s="1445"/>
      <c r="DZ718" s="1445">
        <f t="shared" ref="DZ718:DZ752" si="24">IF(AND(B718="1 Bedroom",AC718&lt;=0.3),G718,0)</f>
        <v>3</v>
      </c>
      <c r="EA718" s="1445"/>
      <c r="EB718" s="1445"/>
      <c r="EC718" s="1445"/>
      <c r="ED718" s="1445"/>
      <c r="EE718" s="1445">
        <f t="shared" ref="EE718:EE752" si="25">IF(AND(B718="2 Bedrooms",AC718&lt;=0.3),G718,0)</f>
        <v>0</v>
      </c>
      <c r="EF718" s="1445"/>
      <c r="EG718" s="1445"/>
      <c r="EH718" s="1445"/>
      <c r="EI718" s="1445"/>
      <c r="EJ718" s="1445">
        <f t="shared" ref="EJ718:EJ752" si="26">IF(AND(B718="3 Bedrooms",AC718&lt;=0.3),G718,0)</f>
        <v>0</v>
      </c>
      <c r="EK718" s="1445"/>
      <c r="EL718" s="1445"/>
      <c r="EM718" s="1445"/>
      <c r="EN718" s="1445"/>
      <c r="EO718" s="1445">
        <f t="shared" ref="EO718:EO752" si="27">IF(AND(B718="4 Bedrooms",AC718&lt;=0.3),G718,0)</f>
        <v>0</v>
      </c>
      <c r="EP718" s="1445"/>
      <c r="EQ718" s="1445"/>
      <c r="ER718" s="1445"/>
      <c r="ES718" s="1445"/>
      <c r="ET718" s="1445">
        <f t="shared" ref="ET718:ET752" si="28">IF(AND(B718="5 Bedrooms",AC718&lt;=0.3),G718,0)</f>
        <v>0</v>
      </c>
      <c r="EU718" s="1445"/>
      <c r="EV718" s="1445"/>
      <c r="EW718" s="1445"/>
      <c r="EX718" s="1445"/>
      <c r="EY718" s="4"/>
      <c r="EZ718" s="1465" t="str">
        <f t="shared" ref="EZ718:EZ752" si="29">IF(CP718&gt;0,O718,"")</f>
        <v/>
      </c>
      <c r="FA718" s="1467"/>
      <c r="FB718" s="1467"/>
      <c r="FC718" s="1467"/>
      <c r="FD718" s="1466"/>
      <c r="FE718" s="1465">
        <f t="shared" ref="FE718:FE752" si="30">IF(CU718&gt;0,O718,"")</f>
        <v>499</v>
      </c>
      <c r="FF718" s="1467"/>
      <c r="FG718" s="1467"/>
      <c r="FH718" s="1467"/>
      <c r="FI718" s="1466"/>
      <c r="FJ718" s="1465" t="str">
        <f t="shared" ref="FJ718:FJ752" si="31">IF(CZ718&gt;0,O718,"")</f>
        <v/>
      </c>
      <c r="FK718" s="1467"/>
      <c r="FL718" s="1467"/>
      <c r="FM718" s="1467"/>
      <c r="FN718" s="1466"/>
      <c r="FO718" s="1465" t="str">
        <f t="shared" ref="FO718:FO752" si="32">IF(DE718&gt;0,O718,"")</f>
        <v/>
      </c>
      <c r="FP718" s="1467"/>
      <c r="FQ718" s="1467"/>
      <c r="FR718" s="1467"/>
      <c r="FS718" s="1466"/>
      <c r="FT718" s="1465" t="str">
        <f t="shared" ref="FT718:FT752" si="33">IF(DJ718&gt;0,O718,"")</f>
        <v/>
      </c>
      <c r="FU718" s="1467"/>
      <c r="FV718" s="1467"/>
      <c r="FW718" s="1467"/>
      <c r="FX718" s="1466"/>
      <c r="FY718" s="1465" t="str">
        <f t="shared" ref="FY718:FY752" si="34">IF(DO718&gt;0,O718,"")</f>
        <v/>
      </c>
      <c r="FZ718" s="1467"/>
      <c r="GA718" s="1467"/>
      <c r="GB718" s="1467"/>
      <c r="GC718" s="1466"/>
    </row>
    <row r="719" spans="1:185" ht="13" customHeight="1">
      <c r="A719" s="4"/>
      <c r="B719" s="1336" t="s">
        <v>325</v>
      </c>
      <c r="C719" s="1337"/>
      <c r="D719" s="1337"/>
      <c r="E719" s="1337"/>
      <c r="F719" s="1338"/>
      <c r="G719" s="1349">
        <v>6</v>
      </c>
      <c r="H719" s="1350"/>
      <c r="I719" s="1350"/>
      <c r="J719" s="1351"/>
      <c r="K719" s="1342">
        <v>650</v>
      </c>
      <c r="L719" s="1343"/>
      <c r="M719" s="1343"/>
      <c r="N719" s="1344"/>
      <c r="O719" s="1339">
        <v>669</v>
      </c>
      <c r="P719" s="1340"/>
      <c r="Q719" s="1340"/>
      <c r="R719" s="1340"/>
      <c r="S719" s="1341"/>
      <c r="T719" s="1339">
        <v>11</v>
      </c>
      <c r="U719" s="1340"/>
      <c r="V719" s="1340"/>
      <c r="W719" s="1341"/>
      <c r="X719" s="1352">
        <f t="shared" si="8"/>
        <v>680</v>
      </c>
      <c r="Y719" s="1353"/>
      <c r="Z719" s="1353"/>
      <c r="AA719" s="1353"/>
      <c r="AB719" s="1354"/>
      <c r="AC719" s="1359">
        <v>0.4</v>
      </c>
      <c r="AD719" s="1360"/>
      <c r="AE719" s="1360"/>
      <c r="AF719" s="1360"/>
      <c r="AG719" s="1361"/>
      <c r="AH719" s="1355">
        <f t="shared" ref="AH719:AH752" si="35">IF($AC719&gt;0,($X719/$AZ719), "")</f>
        <v>0.4</v>
      </c>
      <c r="AI719" s="1356"/>
      <c r="AJ719" s="1357"/>
      <c r="AK719" s="1336" t="s">
        <v>591</v>
      </c>
      <c r="AL719" s="1337"/>
      <c r="AM719" s="1337"/>
      <c r="AN719" s="1337"/>
      <c r="AO719" s="1338"/>
      <c r="AP719" s="3"/>
      <c r="AQ719" s="3"/>
      <c r="AR719" s="3"/>
      <c r="AS719" s="3"/>
      <c r="AZ719" s="118">
        <f>IF($G719=0,"N/A",VLOOKUP($T$189,TC_Rent,(MATCH($B719,bedrooms,FALSE)),FALSE))</f>
        <v>1700</v>
      </c>
      <c r="BA719" s="3"/>
      <c r="BB719" s="3"/>
      <c r="BC719" s="3"/>
      <c r="BD719" s="3"/>
      <c r="BE719" s="205"/>
      <c r="BF719" s="295">
        <f t="shared" si="9"/>
        <v>6</v>
      </c>
      <c r="BG719" s="298">
        <f t="shared" si="10"/>
        <v>9.5238095238095233E-2</v>
      </c>
      <c r="BH719" s="299">
        <f t="shared" si="11"/>
        <v>3.8095238095238099E-2</v>
      </c>
      <c r="BI719" s="3"/>
      <c r="BJ719" s="3"/>
      <c r="BK719" s="3"/>
      <c r="BL719" s="3"/>
      <c r="BM719" s="3"/>
      <c r="BN719" s="3"/>
      <c r="BS719" s="295">
        <f t="shared" si="12"/>
        <v>6</v>
      </c>
      <c r="BT719" s="298">
        <f t="shared" si="13"/>
        <v>9.5238095238095233E-2</v>
      </c>
      <c r="BU719" s="299">
        <f t="shared" si="14"/>
        <v>3.8095238095238099E-2</v>
      </c>
      <c r="CC719" s="3"/>
      <c r="CD719" s="3"/>
      <c r="CE719" s="3"/>
      <c r="CF719" s="3"/>
      <c r="CG719" s="1465">
        <f t="shared" ref="CG719:CG752" si="36">IF(AND(AC719&lt;=0.5,AC719&gt;=0.36),1,0)</f>
        <v>1</v>
      </c>
      <c r="CH719" s="1466"/>
      <c r="CI719" s="1471">
        <f t="shared" ref="CI719:CI752" si="37">IF(CG719=1,G719,0)</f>
        <v>6</v>
      </c>
      <c r="CJ719" s="1472"/>
      <c r="CK719" s="1465">
        <f t="shared" si="15"/>
        <v>0</v>
      </c>
      <c r="CL719" s="1466"/>
      <c r="CM719" s="1471">
        <f t="shared" si="16"/>
        <v>0</v>
      </c>
      <c r="CN719" s="1472"/>
      <c r="CO719" s="3"/>
      <c r="CP719" s="1460">
        <f t="shared" si="17"/>
        <v>0</v>
      </c>
      <c r="CQ719" s="1461"/>
      <c r="CR719" s="1461"/>
      <c r="CS719" s="1461"/>
      <c r="CT719" s="1462"/>
      <c r="CU719" s="1444">
        <f t="shared" si="18"/>
        <v>6</v>
      </c>
      <c r="CV719" s="1444"/>
      <c r="CW719" s="1444"/>
      <c r="CX719" s="1444"/>
      <c r="CY719" s="1444"/>
      <c r="CZ719" s="1444">
        <f t="shared" si="19"/>
        <v>0</v>
      </c>
      <c r="DA719" s="1444"/>
      <c r="DB719" s="1444"/>
      <c r="DC719" s="1444"/>
      <c r="DD719" s="1444"/>
      <c r="DE719" s="1444">
        <f t="shared" si="20"/>
        <v>0</v>
      </c>
      <c r="DF719" s="1444"/>
      <c r="DG719" s="1444"/>
      <c r="DH719" s="1444"/>
      <c r="DI719" s="1444"/>
      <c r="DJ719" s="1444">
        <f t="shared" si="21"/>
        <v>0</v>
      </c>
      <c r="DK719" s="1444"/>
      <c r="DL719" s="1444"/>
      <c r="DM719" s="1444"/>
      <c r="DN719" s="1444"/>
      <c r="DO719" s="1444">
        <f t="shared" si="22"/>
        <v>0</v>
      </c>
      <c r="DP719" s="1444"/>
      <c r="DQ719" s="1444"/>
      <c r="DR719" s="1444"/>
      <c r="DS719" s="1444"/>
      <c r="DT719" s="6"/>
      <c r="DU719" s="1445">
        <f t="shared" si="23"/>
        <v>0</v>
      </c>
      <c r="DV719" s="1445"/>
      <c r="DW719" s="1445"/>
      <c r="DX719" s="1445"/>
      <c r="DY719" s="1445"/>
      <c r="DZ719" s="1445">
        <f t="shared" si="24"/>
        <v>0</v>
      </c>
      <c r="EA719" s="1445"/>
      <c r="EB719" s="1445"/>
      <c r="EC719" s="1445"/>
      <c r="ED719" s="1445"/>
      <c r="EE719" s="1445">
        <f t="shared" si="25"/>
        <v>0</v>
      </c>
      <c r="EF719" s="1445"/>
      <c r="EG719" s="1445"/>
      <c r="EH719" s="1445"/>
      <c r="EI719" s="1445"/>
      <c r="EJ719" s="1445">
        <f t="shared" si="26"/>
        <v>0</v>
      </c>
      <c r="EK719" s="1445"/>
      <c r="EL719" s="1445"/>
      <c r="EM719" s="1445"/>
      <c r="EN719" s="1445"/>
      <c r="EO719" s="1445">
        <f t="shared" si="27"/>
        <v>0</v>
      </c>
      <c r="EP719" s="1445"/>
      <c r="EQ719" s="1445"/>
      <c r="ER719" s="1445"/>
      <c r="ES719" s="1445"/>
      <c r="ET719" s="1445">
        <f t="shared" si="28"/>
        <v>0</v>
      </c>
      <c r="EU719" s="1445"/>
      <c r="EV719" s="1445"/>
      <c r="EW719" s="1445"/>
      <c r="EX719" s="1445"/>
      <c r="EY719" s="4"/>
      <c r="EZ719" s="1465" t="str">
        <f t="shared" si="29"/>
        <v/>
      </c>
      <c r="FA719" s="1467"/>
      <c r="FB719" s="1467"/>
      <c r="FC719" s="1467"/>
      <c r="FD719" s="1466"/>
      <c r="FE719" s="1465">
        <f t="shared" si="30"/>
        <v>669</v>
      </c>
      <c r="FF719" s="1467"/>
      <c r="FG719" s="1467"/>
      <c r="FH719" s="1467"/>
      <c r="FI719" s="1466"/>
      <c r="FJ719" s="1465" t="str">
        <f t="shared" si="31"/>
        <v/>
      </c>
      <c r="FK719" s="1467"/>
      <c r="FL719" s="1467"/>
      <c r="FM719" s="1467"/>
      <c r="FN719" s="1466"/>
      <c r="FO719" s="1465" t="str">
        <f t="shared" si="32"/>
        <v/>
      </c>
      <c r="FP719" s="1467"/>
      <c r="FQ719" s="1467"/>
      <c r="FR719" s="1467"/>
      <c r="FS719" s="1466"/>
      <c r="FT719" s="1465" t="str">
        <f t="shared" si="33"/>
        <v/>
      </c>
      <c r="FU719" s="1467"/>
      <c r="FV719" s="1467"/>
      <c r="FW719" s="1467"/>
      <c r="FX719" s="1466"/>
      <c r="FY719" s="1465" t="str">
        <f t="shared" si="34"/>
        <v/>
      </c>
      <c r="FZ719" s="1467"/>
      <c r="GA719" s="1467"/>
      <c r="GB719" s="1467"/>
      <c r="GC719" s="1466"/>
    </row>
    <row r="720" spans="1:185" ht="13" customHeight="1">
      <c r="A720" s="4"/>
      <c r="B720" s="1336" t="s">
        <v>325</v>
      </c>
      <c r="C720" s="1337"/>
      <c r="D720" s="1337"/>
      <c r="E720" s="1337"/>
      <c r="F720" s="1338"/>
      <c r="G720" s="1349">
        <v>5</v>
      </c>
      <c r="H720" s="1350"/>
      <c r="I720" s="1350"/>
      <c r="J720" s="1351"/>
      <c r="K720" s="1342">
        <v>650</v>
      </c>
      <c r="L720" s="1343"/>
      <c r="M720" s="1343"/>
      <c r="N720" s="1344"/>
      <c r="O720" s="1339">
        <v>839</v>
      </c>
      <c r="P720" s="1340"/>
      <c r="Q720" s="1340"/>
      <c r="R720" s="1340"/>
      <c r="S720" s="1341"/>
      <c r="T720" s="1339">
        <v>11</v>
      </c>
      <c r="U720" s="1340"/>
      <c r="V720" s="1340"/>
      <c r="W720" s="1341"/>
      <c r="X720" s="1352">
        <f t="shared" si="8"/>
        <v>850</v>
      </c>
      <c r="Y720" s="1353"/>
      <c r="Z720" s="1353"/>
      <c r="AA720" s="1353"/>
      <c r="AB720" s="1354"/>
      <c r="AC720" s="1359">
        <v>0.5</v>
      </c>
      <c r="AD720" s="1360"/>
      <c r="AE720" s="1360"/>
      <c r="AF720" s="1360"/>
      <c r="AG720" s="1361"/>
      <c r="AH720" s="1355">
        <f t="shared" si="35"/>
        <v>0.5</v>
      </c>
      <c r="AI720" s="1356"/>
      <c r="AJ720" s="1357"/>
      <c r="AK720" s="1336" t="s">
        <v>591</v>
      </c>
      <c r="AL720" s="1337"/>
      <c r="AM720" s="1337"/>
      <c r="AN720" s="1337"/>
      <c r="AO720" s="1338"/>
      <c r="AP720" s="3"/>
      <c r="AQ720" s="3"/>
      <c r="AR720" s="3"/>
      <c r="AS720" s="3"/>
      <c r="AZ720" s="118">
        <f>IF($G720=0,"N/A",VLOOKUP($T$189,TC_Rent,(MATCH($B720,bedrooms,FALSE)),FALSE))</f>
        <v>1700</v>
      </c>
      <c r="BA720" s="3"/>
      <c r="BB720" s="3"/>
      <c r="BC720" s="3"/>
      <c r="BD720" s="3"/>
      <c r="BE720" s="205"/>
      <c r="BF720" s="295">
        <f t="shared" si="9"/>
        <v>5</v>
      </c>
      <c r="BG720" s="298">
        <f t="shared" si="10"/>
        <v>7.9365079365079361E-2</v>
      </c>
      <c r="BH720" s="299">
        <f t="shared" si="11"/>
        <v>3.968253968253968E-2</v>
      </c>
      <c r="BI720" s="3"/>
      <c r="BJ720" s="3"/>
      <c r="BK720" s="3"/>
      <c r="BL720" s="3"/>
      <c r="BM720" s="3"/>
      <c r="BN720" s="3"/>
      <c r="BS720" s="295">
        <f t="shared" si="12"/>
        <v>5</v>
      </c>
      <c r="BT720" s="298">
        <f t="shared" si="13"/>
        <v>7.9365079365079361E-2</v>
      </c>
      <c r="BU720" s="299">
        <f t="shared" si="14"/>
        <v>3.968253968253968E-2</v>
      </c>
      <c r="CC720" s="3"/>
      <c r="CD720" s="3"/>
      <c r="CE720" s="3"/>
      <c r="CF720" s="3"/>
      <c r="CG720" s="1465">
        <f t="shared" si="36"/>
        <v>1</v>
      </c>
      <c r="CH720" s="1466"/>
      <c r="CI720" s="1471">
        <f t="shared" si="37"/>
        <v>5</v>
      </c>
      <c r="CJ720" s="1472"/>
      <c r="CK720" s="1465">
        <f t="shared" si="15"/>
        <v>0</v>
      </c>
      <c r="CL720" s="1466"/>
      <c r="CM720" s="1471">
        <f t="shared" si="16"/>
        <v>0</v>
      </c>
      <c r="CN720" s="1472"/>
      <c r="CO720" s="3"/>
      <c r="CP720" s="1460">
        <f t="shared" si="17"/>
        <v>0</v>
      </c>
      <c r="CQ720" s="1461"/>
      <c r="CR720" s="1461"/>
      <c r="CS720" s="1461"/>
      <c r="CT720" s="1462"/>
      <c r="CU720" s="1444">
        <f t="shared" si="18"/>
        <v>5</v>
      </c>
      <c r="CV720" s="1444"/>
      <c r="CW720" s="1444"/>
      <c r="CX720" s="1444"/>
      <c r="CY720" s="1444"/>
      <c r="CZ720" s="1444">
        <f t="shared" si="19"/>
        <v>0</v>
      </c>
      <c r="DA720" s="1444"/>
      <c r="DB720" s="1444"/>
      <c r="DC720" s="1444"/>
      <c r="DD720" s="1444"/>
      <c r="DE720" s="1444">
        <f t="shared" si="20"/>
        <v>0</v>
      </c>
      <c r="DF720" s="1444"/>
      <c r="DG720" s="1444"/>
      <c r="DH720" s="1444"/>
      <c r="DI720" s="1444"/>
      <c r="DJ720" s="1444">
        <f t="shared" si="21"/>
        <v>0</v>
      </c>
      <c r="DK720" s="1444"/>
      <c r="DL720" s="1444"/>
      <c r="DM720" s="1444"/>
      <c r="DN720" s="1444"/>
      <c r="DO720" s="1444">
        <f t="shared" si="22"/>
        <v>0</v>
      </c>
      <c r="DP720" s="1444"/>
      <c r="DQ720" s="1444"/>
      <c r="DR720" s="1444"/>
      <c r="DS720" s="1444"/>
      <c r="DT720" s="6"/>
      <c r="DU720" s="1445">
        <f t="shared" si="23"/>
        <v>0</v>
      </c>
      <c r="DV720" s="1445"/>
      <c r="DW720" s="1445"/>
      <c r="DX720" s="1445"/>
      <c r="DY720" s="1445"/>
      <c r="DZ720" s="1445">
        <f t="shared" si="24"/>
        <v>0</v>
      </c>
      <c r="EA720" s="1445"/>
      <c r="EB720" s="1445"/>
      <c r="EC720" s="1445"/>
      <c r="ED720" s="1445"/>
      <c r="EE720" s="1445">
        <f t="shared" si="25"/>
        <v>0</v>
      </c>
      <c r="EF720" s="1445"/>
      <c r="EG720" s="1445"/>
      <c r="EH720" s="1445"/>
      <c r="EI720" s="1445"/>
      <c r="EJ720" s="1445">
        <f t="shared" si="26"/>
        <v>0</v>
      </c>
      <c r="EK720" s="1445"/>
      <c r="EL720" s="1445"/>
      <c r="EM720" s="1445"/>
      <c r="EN720" s="1445"/>
      <c r="EO720" s="1445">
        <f t="shared" si="27"/>
        <v>0</v>
      </c>
      <c r="EP720" s="1445"/>
      <c r="EQ720" s="1445"/>
      <c r="ER720" s="1445"/>
      <c r="ES720" s="1445"/>
      <c r="ET720" s="1445">
        <f t="shared" si="28"/>
        <v>0</v>
      </c>
      <c r="EU720" s="1445"/>
      <c r="EV720" s="1445"/>
      <c r="EW720" s="1445"/>
      <c r="EX720" s="1445"/>
      <c r="EZ720" s="1465" t="str">
        <f t="shared" si="29"/>
        <v/>
      </c>
      <c r="FA720" s="1467"/>
      <c r="FB720" s="1467"/>
      <c r="FC720" s="1467"/>
      <c r="FD720" s="1466"/>
      <c r="FE720" s="1465">
        <f t="shared" si="30"/>
        <v>839</v>
      </c>
      <c r="FF720" s="1467"/>
      <c r="FG720" s="1467"/>
      <c r="FH720" s="1467"/>
      <c r="FI720" s="1466"/>
      <c r="FJ720" s="1465" t="str">
        <f t="shared" si="31"/>
        <v/>
      </c>
      <c r="FK720" s="1467"/>
      <c r="FL720" s="1467"/>
      <c r="FM720" s="1467"/>
      <c r="FN720" s="1466"/>
      <c r="FO720" s="1465" t="str">
        <f t="shared" si="32"/>
        <v/>
      </c>
      <c r="FP720" s="1467"/>
      <c r="FQ720" s="1467"/>
      <c r="FR720" s="1467"/>
      <c r="FS720" s="1466"/>
      <c r="FT720" s="1465" t="str">
        <f t="shared" si="33"/>
        <v/>
      </c>
      <c r="FU720" s="1467"/>
      <c r="FV720" s="1467"/>
      <c r="FW720" s="1467"/>
      <c r="FX720" s="1466"/>
      <c r="FY720" s="1465" t="str">
        <f t="shared" si="34"/>
        <v/>
      </c>
      <c r="FZ720" s="1467"/>
      <c r="GA720" s="1467"/>
      <c r="GB720" s="1467"/>
      <c r="GC720" s="1466"/>
    </row>
    <row r="721" spans="1:185" ht="13" customHeight="1">
      <c r="B721" s="1336" t="s">
        <v>163</v>
      </c>
      <c r="C721" s="1337"/>
      <c r="D721" s="1337"/>
      <c r="E721" s="1337"/>
      <c r="F721" s="1338"/>
      <c r="G721" s="1349">
        <v>7</v>
      </c>
      <c r="H721" s="1350"/>
      <c r="I721" s="1350"/>
      <c r="J721" s="1351"/>
      <c r="K721" s="1342">
        <v>900</v>
      </c>
      <c r="L721" s="1343"/>
      <c r="M721" s="1343"/>
      <c r="N721" s="1344"/>
      <c r="O721" s="1339">
        <v>601</v>
      </c>
      <c r="P721" s="1340"/>
      <c r="Q721" s="1340"/>
      <c r="R721" s="1340"/>
      <c r="S721" s="1341"/>
      <c r="T721" s="1339">
        <v>11</v>
      </c>
      <c r="U721" s="1340"/>
      <c r="V721" s="1340"/>
      <c r="W721" s="1341"/>
      <c r="X721" s="1352">
        <f t="shared" si="8"/>
        <v>612</v>
      </c>
      <c r="Y721" s="1353"/>
      <c r="Z721" s="1353"/>
      <c r="AA721" s="1353"/>
      <c r="AB721" s="1354"/>
      <c r="AC721" s="1359">
        <v>0.3</v>
      </c>
      <c r="AD721" s="1360"/>
      <c r="AE721" s="1360"/>
      <c r="AF721" s="1360"/>
      <c r="AG721" s="1361"/>
      <c r="AH721" s="1355">
        <f t="shared" si="35"/>
        <v>0.29970617042115572</v>
      </c>
      <c r="AI721" s="1356"/>
      <c r="AJ721" s="1357"/>
      <c r="AK721" s="1336" t="s">
        <v>591</v>
      </c>
      <c r="AL721" s="1337"/>
      <c r="AM721" s="1337"/>
      <c r="AN721" s="1337"/>
      <c r="AO721" s="1338"/>
      <c r="AP721" s="3"/>
      <c r="AQ721" s="3"/>
      <c r="AR721" s="3"/>
      <c r="AS721" s="3"/>
      <c r="AY721" s="116"/>
      <c r="AZ721" s="118">
        <f>IF($G721=0,"N/A",VLOOKUP($T$189,TC_Rent,(MATCH($B721,bedrooms,FALSE)),FALSE))</f>
        <v>2042</v>
      </c>
      <c r="BA721" s="3"/>
      <c r="BB721" s="3"/>
      <c r="BC721" s="3"/>
      <c r="BD721" s="3"/>
      <c r="BE721" s="205"/>
      <c r="BF721" s="295">
        <f t="shared" si="9"/>
        <v>7</v>
      </c>
      <c r="BG721" s="298">
        <f t="shared" si="10"/>
        <v>0.1111111111111111</v>
      </c>
      <c r="BH721" s="299">
        <f t="shared" si="11"/>
        <v>3.3333333333333333E-2</v>
      </c>
      <c r="BI721" s="3"/>
      <c r="BJ721" s="3"/>
      <c r="BK721" s="3"/>
      <c r="BL721" s="3"/>
      <c r="BM721" s="3"/>
      <c r="BN721" s="3"/>
      <c r="BS721" s="295">
        <f t="shared" si="12"/>
        <v>7</v>
      </c>
      <c r="BT721" s="298">
        <f t="shared" si="13"/>
        <v>0.1111111111111111</v>
      </c>
      <c r="BU721" s="299">
        <f t="shared" si="14"/>
        <v>3.3300685602350631E-2</v>
      </c>
      <c r="CC721" s="3"/>
      <c r="CD721" s="3"/>
      <c r="CE721" s="3"/>
      <c r="CF721" s="3"/>
      <c r="CG721" s="1465">
        <f t="shared" si="36"/>
        <v>0</v>
      </c>
      <c r="CH721" s="1466"/>
      <c r="CI721" s="1471">
        <f t="shared" si="37"/>
        <v>0</v>
      </c>
      <c r="CJ721" s="1472"/>
      <c r="CK721" s="1465">
        <f t="shared" si="15"/>
        <v>1</v>
      </c>
      <c r="CL721" s="1466"/>
      <c r="CM721" s="1471">
        <f t="shared" si="16"/>
        <v>7</v>
      </c>
      <c r="CN721" s="1472"/>
      <c r="CO721" s="3"/>
      <c r="CP721" s="1460">
        <f t="shared" si="17"/>
        <v>0</v>
      </c>
      <c r="CQ721" s="1461"/>
      <c r="CR721" s="1461"/>
      <c r="CS721" s="1461"/>
      <c r="CT721" s="1462"/>
      <c r="CU721" s="1444">
        <f t="shared" si="18"/>
        <v>0</v>
      </c>
      <c r="CV721" s="1444"/>
      <c r="CW721" s="1444"/>
      <c r="CX721" s="1444"/>
      <c r="CY721" s="1444"/>
      <c r="CZ721" s="1444">
        <f t="shared" si="19"/>
        <v>7</v>
      </c>
      <c r="DA721" s="1444"/>
      <c r="DB721" s="1444"/>
      <c r="DC721" s="1444"/>
      <c r="DD721" s="1444"/>
      <c r="DE721" s="1444">
        <f t="shared" si="20"/>
        <v>0</v>
      </c>
      <c r="DF721" s="1444"/>
      <c r="DG721" s="1444"/>
      <c r="DH721" s="1444"/>
      <c r="DI721" s="1444"/>
      <c r="DJ721" s="1444">
        <f t="shared" si="21"/>
        <v>0</v>
      </c>
      <c r="DK721" s="1444"/>
      <c r="DL721" s="1444"/>
      <c r="DM721" s="1444"/>
      <c r="DN721" s="1444"/>
      <c r="DO721" s="1444">
        <f t="shared" si="22"/>
        <v>0</v>
      </c>
      <c r="DP721" s="1444"/>
      <c r="DQ721" s="1444"/>
      <c r="DR721" s="1444"/>
      <c r="DS721" s="1444"/>
      <c r="DT721" s="6"/>
      <c r="DU721" s="1445">
        <f t="shared" si="23"/>
        <v>0</v>
      </c>
      <c r="DV721" s="1445"/>
      <c r="DW721" s="1445"/>
      <c r="DX721" s="1445"/>
      <c r="DY721" s="1445"/>
      <c r="DZ721" s="1445">
        <f t="shared" si="24"/>
        <v>0</v>
      </c>
      <c r="EA721" s="1445"/>
      <c r="EB721" s="1445"/>
      <c r="EC721" s="1445"/>
      <c r="ED721" s="1445"/>
      <c r="EE721" s="1445">
        <f t="shared" si="25"/>
        <v>7</v>
      </c>
      <c r="EF721" s="1445"/>
      <c r="EG721" s="1445"/>
      <c r="EH721" s="1445"/>
      <c r="EI721" s="1445"/>
      <c r="EJ721" s="1445">
        <f t="shared" si="26"/>
        <v>0</v>
      </c>
      <c r="EK721" s="1445"/>
      <c r="EL721" s="1445"/>
      <c r="EM721" s="1445"/>
      <c r="EN721" s="1445"/>
      <c r="EO721" s="1445">
        <f t="shared" si="27"/>
        <v>0</v>
      </c>
      <c r="EP721" s="1445"/>
      <c r="EQ721" s="1445"/>
      <c r="ER721" s="1445"/>
      <c r="ES721" s="1445"/>
      <c r="ET721" s="1445">
        <f t="shared" si="28"/>
        <v>0</v>
      </c>
      <c r="EU721" s="1445"/>
      <c r="EV721" s="1445"/>
      <c r="EW721" s="1445"/>
      <c r="EX721" s="1445"/>
      <c r="EZ721" s="1465" t="str">
        <f t="shared" si="29"/>
        <v/>
      </c>
      <c r="FA721" s="1467"/>
      <c r="FB721" s="1467"/>
      <c r="FC721" s="1467"/>
      <c r="FD721" s="1466"/>
      <c r="FE721" s="1465" t="str">
        <f t="shared" si="30"/>
        <v/>
      </c>
      <c r="FF721" s="1467"/>
      <c r="FG721" s="1467"/>
      <c r="FH721" s="1467"/>
      <c r="FI721" s="1466"/>
      <c r="FJ721" s="1465">
        <f t="shared" si="31"/>
        <v>601</v>
      </c>
      <c r="FK721" s="1467"/>
      <c r="FL721" s="1467"/>
      <c r="FM721" s="1467"/>
      <c r="FN721" s="1466"/>
      <c r="FO721" s="1465" t="str">
        <f t="shared" si="32"/>
        <v/>
      </c>
      <c r="FP721" s="1467"/>
      <c r="FQ721" s="1467"/>
      <c r="FR721" s="1467"/>
      <c r="FS721" s="1466"/>
      <c r="FT721" s="1465" t="str">
        <f t="shared" si="33"/>
        <v/>
      </c>
      <c r="FU721" s="1467"/>
      <c r="FV721" s="1467"/>
      <c r="FW721" s="1467"/>
      <c r="FX721" s="1466"/>
      <c r="FY721" s="1465" t="str">
        <f t="shared" si="34"/>
        <v/>
      </c>
      <c r="FZ721" s="1467"/>
      <c r="GA721" s="1467"/>
      <c r="GB721" s="1467"/>
      <c r="GC721" s="1466"/>
    </row>
    <row r="722" spans="1:185" ht="13" customHeight="1">
      <c r="B722" s="1336" t="s">
        <v>163</v>
      </c>
      <c r="C722" s="1337"/>
      <c r="D722" s="1337"/>
      <c r="E722" s="1337"/>
      <c r="F722" s="1338"/>
      <c r="G722" s="1349">
        <v>21</v>
      </c>
      <c r="H722" s="1350"/>
      <c r="I722" s="1350"/>
      <c r="J722" s="1351"/>
      <c r="K722" s="1342">
        <v>900</v>
      </c>
      <c r="L722" s="1343"/>
      <c r="M722" s="1343"/>
      <c r="N722" s="1344"/>
      <c r="O722" s="1339">
        <v>806</v>
      </c>
      <c r="P722" s="1340"/>
      <c r="Q722" s="1340"/>
      <c r="R722" s="1340"/>
      <c r="S722" s="1341"/>
      <c r="T722" s="1339">
        <v>11</v>
      </c>
      <c r="U722" s="1340"/>
      <c r="V722" s="1340"/>
      <c r="W722" s="1341"/>
      <c r="X722" s="1352">
        <f t="shared" si="8"/>
        <v>817</v>
      </c>
      <c r="Y722" s="1353"/>
      <c r="Z722" s="1353"/>
      <c r="AA722" s="1353"/>
      <c r="AB722" s="1354"/>
      <c r="AC722" s="1359">
        <v>0.4</v>
      </c>
      <c r="AD722" s="1360"/>
      <c r="AE722" s="1360"/>
      <c r="AF722" s="1360"/>
      <c r="AG722" s="1361"/>
      <c r="AH722" s="1355">
        <f t="shared" si="35"/>
        <v>0.40009794319294811</v>
      </c>
      <c r="AI722" s="1356"/>
      <c r="AJ722" s="1357"/>
      <c r="AK722" s="1336" t="s">
        <v>591</v>
      </c>
      <c r="AL722" s="1337"/>
      <c r="AM722" s="1337"/>
      <c r="AN722" s="1337"/>
      <c r="AO722" s="1338"/>
      <c r="AP722" s="3"/>
      <c r="AQ722" s="3"/>
      <c r="AR722" s="3"/>
      <c r="AS722" s="3"/>
      <c r="AY722" s="116"/>
      <c r="AZ722" s="118">
        <f>IF($G722=0,"N/A",VLOOKUP($T$189,TC_Rent,(MATCH($B722,bedrooms,FALSE)),FALSE))</f>
        <v>2042</v>
      </c>
      <c r="BA722" s="3"/>
      <c r="BB722" s="3"/>
      <c r="BC722" s="3"/>
      <c r="BD722" s="3"/>
      <c r="BE722" s="205"/>
      <c r="BF722" s="295">
        <f t="shared" si="9"/>
        <v>21</v>
      </c>
      <c r="BG722" s="298">
        <f t="shared" si="10"/>
        <v>0.33333333333333331</v>
      </c>
      <c r="BH722" s="299">
        <f t="shared" si="11"/>
        <v>0.13333333333333333</v>
      </c>
      <c r="BI722" s="3"/>
      <c r="BJ722" s="3"/>
      <c r="BK722" s="3"/>
      <c r="BL722" s="3"/>
      <c r="BM722" s="3"/>
      <c r="BN722" s="3"/>
      <c r="BS722" s="295">
        <f t="shared" si="12"/>
        <v>21</v>
      </c>
      <c r="BT722" s="298">
        <f t="shared" si="13"/>
        <v>0.33333333333333331</v>
      </c>
      <c r="BU722" s="299">
        <f t="shared" si="14"/>
        <v>0.13336598106431602</v>
      </c>
      <c r="CC722" s="3"/>
      <c r="CD722" s="3"/>
      <c r="CE722" s="3"/>
      <c r="CF722" s="3"/>
      <c r="CG722" s="1465">
        <f t="shared" si="36"/>
        <v>1</v>
      </c>
      <c r="CH722" s="1466"/>
      <c r="CI722" s="1471">
        <f t="shared" si="37"/>
        <v>21</v>
      </c>
      <c r="CJ722" s="1472"/>
      <c r="CK722" s="1465">
        <f t="shared" si="15"/>
        <v>0</v>
      </c>
      <c r="CL722" s="1466"/>
      <c r="CM722" s="1471">
        <f t="shared" si="16"/>
        <v>0</v>
      </c>
      <c r="CN722" s="1472"/>
      <c r="CO722" s="3"/>
      <c r="CP722" s="1460">
        <f t="shared" si="17"/>
        <v>0</v>
      </c>
      <c r="CQ722" s="1461"/>
      <c r="CR722" s="1461"/>
      <c r="CS722" s="1461"/>
      <c r="CT722" s="1462"/>
      <c r="CU722" s="1444">
        <f t="shared" si="18"/>
        <v>0</v>
      </c>
      <c r="CV722" s="1444"/>
      <c r="CW722" s="1444"/>
      <c r="CX722" s="1444"/>
      <c r="CY722" s="1444"/>
      <c r="CZ722" s="1444">
        <f t="shared" si="19"/>
        <v>21</v>
      </c>
      <c r="DA722" s="1444"/>
      <c r="DB722" s="1444"/>
      <c r="DC722" s="1444"/>
      <c r="DD722" s="1444"/>
      <c r="DE722" s="1444">
        <f t="shared" si="20"/>
        <v>0</v>
      </c>
      <c r="DF722" s="1444"/>
      <c r="DG722" s="1444"/>
      <c r="DH722" s="1444"/>
      <c r="DI722" s="1444"/>
      <c r="DJ722" s="1444">
        <f t="shared" si="21"/>
        <v>0</v>
      </c>
      <c r="DK722" s="1444"/>
      <c r="DL722" s="1444"/>
      <c r="DM722" s="1444"/>
      <c r="DN722" s="1444"/>
      <c r="DO722" s="1444">
        <f t="shared" si="22"/>
        <v>0</v>
      </c>
      <c r="DP722" s="1444"/>
      <c r="DQ722" s="1444"/>
      <c r="DR722" s="1444"/>
      <c r="DS722" s="1444"/>
      <c r="DT722" s="6"/>
      <c r="DU722" s="1445">
        <f t="shared" si="23"/>
        <v>0</v>
      </c>
      <c r="DV722" s="1445"/>
      <c r="DW722" s="1445"/>
      <c r="DX722" s="1445"/>
      <c r="DY722" s="1445"/>
      <c r="DZ722" s="1445">
        <f t="shared" si="24"/>
        <v>0</v>
      </c>
      <c r="EA722" s="1445"/>
      <c r="EB722" s="1445"/>
      <c r="EC722" s="1445"/>
      <c r="ED722" s="1445"/>
      <c r="EE722" s="1445">
        <f t="shared" si="25"/>
        <v>0</v>
      </c>
      <c r="EF722" s="1445"/>
      <c r="EG722" s="1445"/>
      <c r="EH722" s="1445"/>
      <c r="EI722" s="1445"/>
      <c r="EJ722" s="1445">
        <f t="shared" si="26"/>
        <v>0</v>
      </c>
      <c r="EK722" s="1445"/>
      <c r="EL722" s="1445"/>
      <c r="EM722" s="1445"/>
      <c r="EN722" s="1445"/>
      <c r="EO722" s="1445">
        <f t="shared" si="27"/>
        <v>0</v>
      </c>
      <c r="EP722" s="1445"/>
      <c r="EQ722" s="1445"/>
      <c r="ER722" s="1445"/>
      <c r="ES722" s="1445"/>
      <c r="ET722" s="1445">
        <f t="shared" si="28"/>
        <v>0</v>
      </c>
      <c r="EU722" s="1445"/>
      <c r="EV722" s="1445"/>
      <c r="EW722" s="1445"/>
      <c r="EX722" s="1445"/>
      <c r="EZ722" s="1465" t="str">
        <f t="shared" si="29"/>
        <v/>
      </c>
      <c r="FA722" s="1467"/>
      <c r="FB722" s="1467"/>
      <c r="FC722" s="1467"/>
      <c r="FD722" s="1466"/>
      <c r="FE722" s="1465" t="str">
        <f t="shared" si="30"/>
        <v/>
      </c>
      <c r="FF722" s="1467"/>
      <c r="FG722" s="1467"/>
      <c r="FH722" s="1467"/>
      <c r="FI722" s="1466"/>
      <c r="FJ722" s="1465">
        <f t="shared" si="31"/>
        <v>806</v>
      </c>
      <c r="FK722" s="1467"/>
      <c r="FL722" s="1467"/>
      <c r="FM722" s="1467"/>
      <c r="FN722" s="1466"/>
      <c r="FO722" s="1465" t="str">
        <f t="shared" si="32"/>
        <v/>
      </c>
      <c r="FP722" s="1467"/>
      <c r="FQ722" s="1467"/>
      <c r="FR722" s="1467"/>
      <c r="FS722" s="1466"/>
      <c r="FT722" s="1465" t="str">
        <f t="shared" si="33"/>
        <v/>
      </c>
      <c r="FU722" s="1467"/>
      <c r="FV722" s="1467"/>
      <c r="FW722" s="1467"/>
      <c r="FX722" s="1466"/>
      <c r="FY722" s="1465" t="str">
        <f t="shared" si="34"/>
        <v/>
      </c>
      <c r="FZ722" s="1467"/>
      <c r="GA722" s="1467"/>
      <c r="GB722" s="1467"/>
      <c r="GC722" s="1466"/>
    </row>
    <row r="723" spans="1:185" ht="13" customHeight="1">
      <c r="B723" s="1336" t="s">
        <v>163</v>
      </c>
      <c r="C723" s="1337"/>
      <c r="D723" s="1337"/>
      <c r="E723" s="1337"/>
      <c r="F723" s="1338"/>
      <c r="G723" s="1349">
        <v>5</v>
      </c>
      <c r="H723" s="1350"/>
      <c r="I723" s="1350"/>
      <c r="J723" s="1351"/>
      <c r="K723" s="1342">
        <v>900</v>
      </c>
      <c r="L723" s="1343"/>
      <c r="M723" s="1343"/>
      <c r="N723" s="1344"/>
      <c r="O723" s="1339">
        <v>1010</v>
      </c>
      <c r="P723" s="1340"/>
      <c r="Q723" s="1340"/>
      <c r="R723" s="1340"/>
      <c r="S723" s="1341"/>
      <c r="T723" s="1339">
        <v>11</v>
      </c>
      <c r="U723" s="1340"/>
      <c r="V723" s="1340"/>
      <c r="W723" s="1341"/>
      <c r="X723" s="1352">
        <f t="shared" si="8"/>
        <v>1021</v>
      </c>
      <c r="Y723" s="1353"/>
      <c r="Z723" s="1353"/>
      <c r="AA723" s="1353"/>
      <c r="AB723" s="1354"/>
      <c r="AC723" s="1359">
        <v>0.5</v>
      </c>
      <c r="AD723" s="1360"/>
      <c r="AE723" s="1360"/>
      <c r="AF723" s="1360"/>
      <c r="AG723" s="1361"/>
      <c r="AH723" s="1355">
        <f t="shared" si="35"/>
        <v>0.5</v>
      </c>
      <c r="AI723" s="1356"/>
      <c r="AJ723" s="1357"/>
      <c r="AK723" s="1336" t="s">
        <v>591</v>
      </c>
      <c r="AL723" s="1337"/>
      <c r="AM723" s="1337"/>
      <c r="AN723" s="1337"/>
      <c r="AO723" s="1338"/>
      <c r="AP723" s="3"/>
      <c r="AQ723" s="3"/>
      <c r="AR723" s="3"/>
      <c r="AS723" s="3"/>
      <c r="AY723" s="116"/>
      <c r="AZ723" s="118">
        <f>IF($G723=0,"N/A",VLOOKUP($T$189,TC_Rent,(MATCH($B723,bedrooms,FALSE)),FALSE))</f>
        <v>2042</v>
      </c>
      <c r="BA723" s="3"/>
      <c r="BB723" s="3"/>
      <c r="BC723" s="3"/>
      <c r="BD723" s="3"/>
      <c r="BE723" s="205"/>
      <c r="BF723" s="295">
        <f t="shared" si="9"/>
        <v>5</v>
      </c>
      <c r="BG723" s="298">
        <f t="shared" si="10"/>
        <v>7.9365079365079361E-2</v>
      </c>
      <c r="BH723" s="299">
        <f t="shared" si="11"/>
        <v>3.968253968253968E-2</v>
      </c>
      <c r="BI723" s="3"/>
      <c r="BJ723" s="3"/>
      <c r="BK723" s="3"/>
      <c r="BL723" s="3"/>
      <c r="BM723" s="3"/>
      <c r="BN723" s="3"/>
      <c r="BS723" s="295">
        <f t="shared" si="12"/>
        <v>5</v>
      </c>
      <c r="BT723" s="298">
        <f t="shared" si="13"/>
        <v>7.9365079365079361E-2</v>
      </c>
      <c r="BU723" s="299">
        <f t="shared" si="14"/>
        <v>3.968253968253968E-2</v>
      </c>
      <c r="CC723" s="3"/>
      <c r="CD723" s="3"/>
      <c r="CE723" s="3"/>
      <c r="CF723" s="3"/>
      <c r="CG723" s="1465">
        <f t="shared" si="36"/>
        <v>1</v>
      </c>
      <c r="CH723" s="1466"/>
      <c r="CI723" s="1471">
        <f t="shared" si="37"/>
        <v>5</v>
      </c>
      <c r="CJ723" s="1472"/>
      <c r="CK723" s="1465">
        <f t="shared" si="15"/>
        <v>0</v>
      </c>
      <c r="CL723" s="1466"/>
      <c r="CM723" s="1471">
        <f t="shared" si="16"/>
        <v>0</v>
      </c>
      <c r="CN723" s="1472"/>
      <c r="CO723" s="3"/>
      <c r="CP723" s="1460">
        <f t="shared" si="17"/>
        <v>0</v>
      </c>
      <c r="CQ723" s="1461"/>
      <c r="CR723" s="1461"/>
      <c r="CS723" s="1461"/>
      <c r="CT723" s="1462"/>
      <c r="CU723" s="1444">
        <f t="shared" si="18"/>
        <v>0</v>
      </c>
      <c r="CV723" s="1444"/>
      <c r="CW723" s="1444"/>
      <c r="CX723" s="1444"/>
      <c r="CY723" s="1444"/>
      <c r="CZ723" s="1444">
        <f t="shared" si="19"/>
        <v>5</v>
      </c>
      <c r="DA723" s="1444"/>
      <c r="DB723" s="1444"/>
      <c r="DC723" s="1444"/>
      <c r="DD723" s="1444"/>
      <c r="DE723" s="1444">
        <f t="shared" si="20"/>
        <v>0</v>
      </c>
      <c r="DF723" s="1444"/>
      <c r="DG723" s="1444"/>
      <c r="DH723" s="1444"/>
      <c r="DI723" s="1444"/>
      <c r="DJ723" s="1444">
        <f t="shared" si="21"/>
        <v>0</v>
      </c>
      <c r="DK723" s="1444"/>
      <c r="DL723" s="1444"/>
      <c r="DM723" s="1444"/>
      <c r="DN723" s="1444"/>
      <c r="DO723" s="1444">
        <f t="shared" si="22"/>
        <v>0</v>
      </c>
      <c r="DP723" s="1444"/>
      <c r="DQ723" s="1444"/>
      <c r="DR723" s="1444"/>
      <c r="DS723" s="1444"/>
      <c r="DT723" s="6"/>
      <c r="DU723" s="1445">
        <f t="shared" si="23"/>
        <v>0</v>
      </c>
      <c r="DV723" s="1445"/>
      <c r="DW723" s="1445"/>
      <c r="DX723" s="1445"/>
      <c r="DY723" s="1445"/>
      <c r="DZ723" s="1445">
        <f t="shared" si="24"/>
        <v>0</v>
      </c>
      <c r="EA723" s="1445"/>
      <c r="EB723" s="1445"/>
      <c r="EC723" s="1445"/>
      <c r="ED723" s="1445"/>
      <c r="EE723" s="1445">
        <f t="shared" si="25"/>
        <v>0</v>
      </c>
      <c r="EF723" s="1445"/>
      <c r="EG723" s="1445"/>
      <c r="EH723" s="1445"/>
      <c r="EI723" s="1445"/>
      <c r="EJ723" s="1445">
        <f t="shared" si="26"/>
        <v>0</v>
      </c>
      <c r="EK723" s="1445"/>
      <c r="EL723" s="1445"/>
      <c r="EM723" s="1445"/>
      <c r="EN723" s="1445"/>
      <c r="EO723" s="1445">
        <f t="shared" si="27"/>
        <v>0</v>
      </c>
      <c r="EP723" s="1445"/>
      <c r="EQ723" s="1445"/>
      <c r="ER723" s="1445"/>
      <c r="ES723" s="1445"/>
      <c r="ET723" s="1445">
        <f t="shared" si="28"/>
        <v>0</v>
      </c>
      <c r="EU723" s="1445"/>
      <c r="EV723" s="1445"/>
      <c r="EW723" s="1445"/>
      <c r="EX723" s="1445"/>
      <c r="EZ723" s="1465" t="str">
        <f t="shared" si="29"/>
        <v/>
      </c>
      <c r="FA723" s="1467"/>
      <c r="FB723" s="1467"/>
      <c r="FC723" s="1467"/>
      <c r="FD723" s="1466"/>
      <c r="FE723" s="1465" t="str">
        <f t="shared" si="30"/>
        <v/>
      </c>
      <c r="FF723" s="1467"/>
      <c r="FG723" s="1467"/>
      <c r="FH723" s="1467"/>
      <c r="FI723" s="1466"/>
      <c r="FJ723" s="1465">
        <f t="shared" si="31"/>
        <v>1010</v>
      </c>
      <c r="FK723" s="1467"/>
      <c r="FL723" s="1467"/>
      <c r="FM723" s="1467"/>
      <c r="FN723" s="1466"/>
      <c r="FO723" s="1465" t="str">
        <f t="shared" si="32"/>
        <v/>
      </c>
      <c r="FP723" s="1467"/>
      <c r="FQ723" s="1467"/>
      <c r="FR723" s="1467"/>
      <c r="FS723" s="1466"/>
      <c r="FT723" s="1465" t="str">
        <f t="shared" si="33"/>
        <v/>
      </c>
      <c r="FU723" s="1467"/>
      <c r="FV723" s="1467"/>
      <c r="FW723" s="1467"/>
      <c r="FX723" s="1466"/>
      <c r="FY723" s="1465" t="str">
        <f t="shared" si="34"/>
        <v/>
      </c>
      <c r="FZ723" s="1467"/>
      <c r="GA723" s="1467"/>
      <c r="GB723" s="1467"/>
      <c r="GC723" s="1466"/>
    </row>
    <row r="724" spans="1:185" ht="13" customHeight="1">
      <c r="B724" s="1336" t="s">
        <v>164</v>
      </c>
      <c r="C724" s="1337"/>
      <c r="D724" s="1337"/>
      <c r="E724" s="1337"/>
      <c r="F724" s="1338"/>
      <c r="G724" s="1349">
        <v>4</v>
      </c>
      <c r="H724" s="1350"/>
      <c r="I724" s="1350"/>
      <c r="J724" s="1351"/>
      <c r="K724" s="1342">
        <v>1125</v>
      </c>
      <c r="L724" s="1343"/>
      <c r="M724" s="1343"/>
      <c r="N724" s="1344"/>
      <c r="O724" s="1339">
        <v>696</v>
      </c>
      <c r="P724" s="1340"/>
      <c r="Q724" s="1340"/>
      <c r="R724" s="1340"/>
      <c r="S724" s="1341"/>
      <c r="T724" s="1339">
        <v>11</v>
      </c>
      <c r="U724" s="1340"/>
      <c r="V724" s="1340"/>
      <c r="W724" s="1341"/>
      <c r="X724" s="1352">
        <f t="shared" si="8"/>
        <v>707</v>
      </c>
      <c r="Y724" s="1353"/>
      <c r="Z724" s="1353"/>
      <c r="AA724" s="1353"/>
      <c r="AB724" s="1354"/>
      <c r="AC724" s="1359">
        <v>0.3</v>
      </c>
      <c r="AD724" s="1360"/>
      <c r="AE724" s="1360"/>
      <c r="AF724" s="1360"/>
      <c r="AG724" s="1361"/>
      <c r="AH724" s="1355">
        <f t="shared" si="35"/>
        <v>0.29983036471586089</v>
      </c>
      <c r="AI724" s="1356"/>
      <c r="AJ724" s="1357"/>
      <c r="AK724" s="1336" t="s">
        <v>591</v>
      </c>
      <c r="AL724" s="1337"/>
      <c r="AM724" s="1337"/>
      <c r="AN724" s="1337"/>
      <c r="AO724" s="1338"/>
      <c r="AP724" s="3"/>
      <c r="AQ724" s="3"/>
      <c r="AR724" s="3"/>
      <c r="AS724" s="3"/>
      <c r="AY724" s="116"/>
      <c r="AZ724" s="118">
        <f>IF($G724=0,"N/A",VLOOKUP($T$189,TC_Rent,(MATCH($B724,bedrooms,FALSE)),FALSE))</f>
        <v>2358</v>
      </c>
      <c r="BA724" s="3"/>
      <c r="BB724" s="3"/>
      <c r="BC724" s="3"/>
      <c r="BD724" s="3"/>
      <c r="BE724" s="205"/>
      <c r="BF724" s="295">
        <f t="shared" si="9"/>
        <v>4</v>
      </c>
      <c r="BG724" s="298">
        <f t="shared" si="10"/>
        <v>6.3492063492063489E-2</v>
      </c>
      <c r="BH724" s="299">
        <f t="shared" si="11"/>
        <v>1.9047619047619046E-2</v>
      </c>
      <c r="BI724" s="3"/>
      <c r="BJ724" s="3"/>
      <c r="BK724" s="3"/>
      <c r="BL724" s="3"/>
      <c r="BM724" s="3"/>
      <c r="BN724" s="3"/>
      <c r="BS724" s="295">
        <f t="shared" si="12"/>
        <v>4</v>
      </c>
      <c r="BT724" s="298">
        <f t="shared" si="13"/>
        <v>6.3492063492063489E-2</v>
      </c>
      <c r="BU724" s="299">
        <f t="shared" si="14"/>
        <v>1.903684855338799E-2</v>
      </c>
      <c r="CC724" s="3"/>
      <c r="CE724" s="3"/>
      <c r="CF724" s="3"/>
      <c r="CG724" s="1465">
        <f t="shared" si="36"/>
        <v>0</v>
      </c>
      <c r="CH724" s="1466"/>
      <c r="CI724" s="1471">
        <f t="shared" si="37"/>
        <v>0</v>
      </c>
      <c r="CJ724" s="1472"/>
      <c r="CK724" s="1465">
        <f t="shared" si="15"/>
        <v>1</v>
      </c>
      <c r="CL724" s="1466"/>
      <c r="CM724" s="1471">
        <f t="shared" si="16"/>
        <v>4</v>
      </c>
      <c r="CN724" s="1472"/>
      <c r="CO724" s="3"/>
      <c r="CP724" s="1460">
        <f t="shared" si="17"/>
        <v>0</v>
      </c>
      <c r="CQ724" s="1461"/>
      <c r="CR724" s="1461"/>
      <c r="CS724" s="1461"/>
      <c r="CT724" s="1462"/>
      <c r="CU724" s="1444">
        <f t="shared" si="18"/>
        <v>0</v>
      </c>
      <c r="CV724" s="1444"/>
      <c r="CW724" s="1444"/>
      <c r="CX724" s="1444"/>
      <c r="CY724" s="1444"/>
      <c r="CZ724" s="1444">
        <f t="shared" si="19"/>
        <v>0</v>
      </c>
      <c r="DA724" s="1444"/>
      <c r="DB724" s="1444"/>
      <c r="DC724" s="1444"/>
      <c r="DD724" s="1444"/>
      <c r="DE724" s="1444">
        <f t="shared" si="20"/>
        <v>4</v>
      </c>
      <c r="DF724" s="1444"/>
      <c r="DG724" s="1444"/>
      <c r="DH724" s="1444"/>
      <c r="DI724" s="1444"/>
      <c r="DJ724" s="1444">
        <f t="shared" si="21"/>
        <v>0</v>
      </c>
      <c r="DK724" s="1444"/>
      <c r="DL724" s="1444"/>
      <c r="DM724" s="1444"/>
      <c r="DN724" s="1444"/>
      <c r="DO724" s="1444">
        <f t="shared" si="22"/>
        <v>0</v>
      </c>
      <c r="DP724" s="1444"/>
      <c r="DQ724" s="1444"/>
      <c r="DR724" s="1444"/>
      <c r="DS724" s="1444"/>
      <c r="DT724" s="6"/>
      <c r="DU724" s="1445">
        <f t="shared" si="23"/>
        <v>0</v>
      </c>
      <c r="DV724" s="1445"/>
      <c r="DW724" s="1445"/>
      <c r="DX724" s="1445"/>
      <c r="DY724" s="1445"/>
      <c r="DZ724" s="1445">
        <f t="shared" si="24"/>
        <v>0</v>
      </c>
      <c r="EA724" s="1445"/>
      <c r="EB724" s="1445"/>
      <c r="EC724" s="1445"/>
      <c r="ED724" s="1445"/>
      <c r="EE724" s="1445">
        <f t="shared" si="25"/>
        <v>0</v>
      </c>
      <c r="EF724" s="1445"/>
      <c r="EG724" s="1445"/>
      <c r="EH724" s="1445"/>
      <c r="EI724" s="1445"/>
      <c r="EJ724" s="1445">
        <f t="shared" si="26"/>
        <v>4</v>
      </c>
      <c r="EK724" s="1445"/>
      <c r="EL724" s="1445"/>
      <c r="EM724" s="1445"/>
      <c r="EN724" s="1445"/>
      <c r="EO724" s="1445">
        <f t="shared" si="27"/>
        <v>0</v>
      </c>
      <c r="EP724" s="1445"/>
      <c r="EQ724" s="1445"/>
      <c r="ER724" s="1445"/>
      <c r="ES724" s="1445"/>
      <c r="ET724" s="1445">
        <f t="shared" si="28"/>
        <v>0</v>
      </c>
      <c r="EU724" s="1445"/>
      <c r="EV724" s="1445"/>
      <c r="EW724" s="1445"/>
      <c r="EX724" s="1445"/>
      <c r="EZ724" s="1465" t="str">
        <f t="shared" si="29"/>
        <v/>
      </c>
      <c r="FA724" s="1467"/>
      <c r="FB724" s="1467"/>
      <c r="FC724" s="1467"/>
      <c r="FD724" s="1466"/>
      <c r="FE724" s="1465" t="str">
        <f t="shared" si="30"/>
        <v/>
      </c>
      <c r="FF724" s="1467"/>
      <c r="FG724" s="1467"/>
      <c r="FH724" s="1467"/>
      <c r="FI724" s="1466"/>
      <c r="FJ724" s="1465" t="str">
        <f t="shared" si="31"/>
        <v/>
      </c>
      <c r="FK724" s="1467"/>
      <c r="FL724" s="1467"/>
      <c r="FM724" s="1467"/>
      <c r="FN724" s="1466"/>
      <c r="FO724" s="1465">
        <f t="shared" si="32"/>
        <v>696</v>
      </c>
      <c r="FP724" s="1467"/>
      <c r="FQ724" s="1467"/>
      <c r="FR724" s="1467"/>
      <c r="FS724" s="1466"/>
      <c r="FT724" s="1465" t="str">
        <f t="shared" si="33"/>
        <v/>
      </c>
      <c r="FU724" s="1467"/>
      <c r="FV724" s="1467"/>
      <c r="FW724" s="1467"/>
      <c r="FX724" s="1466"/>
      <c r="FY724" s="1465" t="str">
        <f t="shared" si="34"/>
        <v/>
      </c>
      <c r="FZ724" s="1467"/>
      <c r="GA724" s="1467"/>
      <c r="GB724" s="1467"/>
      <c r="GC724" s="1466"/>
    </row>
    <row r="725" spans="1:185" ht="13" customHeight="1">
      <c r="B725" s="1336" t="s">
        <v>164</v>
      </c>
      <c r="C725" s="1337"/>
      <c r="D725" s="1337"/>
      <c r="E725" s="1337"/>
      <c r="F725" s="1338"/>
      <c r="G725" s="1349">
        <v>8</v>
      </c>
      <c r="H725" s="1350"/>
      <c r="I725" s="1350"/>
      <c r="J725" s="1351"/>
      <c r="K725" s="1342">
        <v>1125</v>
      </c>
      <c r="L725" s="1343"/>
      <c r="M725" s="1343"/>
      <c r="N725" s="1344"/>
      <c r="O725" s="1339">
        <v>932</v>
      </c>
      <c r="P725" s="1340"/>
      <c r="Q725" s="1340"/>
      <c r="R725" s="1340"/>
      <c r="S725" s="1341"/>
      <c r="T725" s="1339">
        <v>11</v>
      </c>
      <c r="U725" s="1340"/>
      <c r="V725" s="1340"/>
      <c r="W725" s="1341"/>
      <c r="X725" s="1352">
        <f t="shared" si="8"/>
        <v>943</v>
      </c>
      <c r="Y725" s="1353"/>
      <c r="Z725" s="1353"/>
      <c r="AA725" s="1353"/>
      <c r="AB725" s="1354"/>
      <c r="AC725" s="1359">
        <v>0.4</v>
      </c>
      <c r="AD725" s="1360"/>
      <c r="AE725" s="1360"/>
      <c r="AF725" s="1360"/>
      <c r="AG725" s="1361"/>
      <c r="AH725" s="1355">
        <f t="shared" si="35"/>
        <v>0.39991518235793044</v>
      </c>
      <c r="AI725" s="1356"/>
      <c r="AJ725" s="1357"/>
      <c r="AK725" s="1336" t="s">
        <v>591</v>
      </c>
      <c r="AL725" s="1337"/>
      <c r="AM725" s="1337"/>
      <c r="AN725" s="1337"/>
      <c r="AO725" s="1338"/>
      <c r="AP725" s="3"/>
      <c r="AQ725" s="3"/>
      <c r="AR725" s="3"/>
      <c r="AS725" s="3"/>
      <c r="AY725" s="1087"/>
      <c r="AZ725" s="118">
        <f>IF($G725=0,"N/A",VLOOKUP($T$189,TC_Rent,(MATCH($B725,bedrooms,FALSE)),FALSE))</f>
        <v>2358</v>
      </c>
      <c r="BA725" s="3"/>
      <c r="BB725" s="3"/>
      <c r="BC725" s="3"/>
      <c r="BD725" s="3"/>
      <c r="BE725" s="205"/>
      <c r="BF725" s="295">
        <f t="shared" si="9"/>
        <v>8</v>
      </c>
      <c r="BG725" s="298">
        <f t="shared" si="10"/>
        <v>0.12698412698412698</v>
      </c>
      <c r="BH725" s="299">
        <f t="shared" si="11"/>
        <v>5.0793650793650794E-2</v>
      </c>
      <c r="BI725" s="3"/>
      <c r="BJ725" s="3"/>
      <c r="BK725" s="3"/>
      <c r="BL725" s="3"/>
      <c r="BM725" s="3"/>
      <c r="BN725" s="3"/>
      <c r="BS725" s="295">
        <f t="shared" si="12"/>
        <v>8</v>
      </c>
      <c r="BT725" s="298">
        <f t="shared" si="13"/>
        <v>0.12698412698412698</v>
      </c>
      <c r="BU725" s="299">
        <f t="shared" si="14"/>
        <v>5.0782880299419735E-2</v>
      </c>
      <c r="BV725" s="293"/>
      <c r="BW725" s="3"/>
      <c r="BX725" s="3"/>
      <c r="BY725" s="3"/>
      <c r="BZ725" s="3"/>
      <c r="CA725" s="3"/>
      <c r="CB725" s="3"/>
      <c r="CC725" s="3"/>
      <c r="CE725" s="3"/>
      <c r="CF725" s="3"/>
      <c r="CG725" s="1465">
        <f t="shared" si="36"/>
        <v>1</v>
      </c>
      <c r="CH725" s="1466"/>
      <c r="CI725" s="1471">
        <f t="shared" si="37"/>
        <v>8</v>
      </c>
      <c r="CJ725" s="1472"/>
      <c r="CK725" s="1465">
        <f t="shared" si="15"/>
        <v>0</v>
      </c>
      <c r="CL725" s="1466"/>
      <c r="CM725" s="1471">
        <f t="shared" si="16"/>
        <v>0</v>
      </c>
      <c r="CN725" s="1472"/>
      <c r="CO725" s="3"/>
      <c r="CP725" s="1460">
        <f t="shared" si="17"/>
        <v>0</v>
      </c>
      <c r="CQ725" s="1461"/>
      <c r="CR725" s="1461"/>
      <c r="CS725" s="1461"/>
      <c r="CT725" s="1462"/>
      <c r="CU725" s="1444">
        <f t="shared" si="18"/>
        <v>0</v>
      </c>
      <c r="CV725" s="1444"/>
      <c r="CW725" s="1444"/>
      <c r="CX725" s="1444"/>
      <c r="CY725" s="1444"/>
      <c r="CZ725" s="1444">
        <f t="shared" si="19"/>
        <v>0</v>
      </c>
      <c r="DA725" s="1444"/>
      <c r="DB725" s="1444"/>
      <c r="DC725" s="1444"/>
      <c r="DD725" s="1444"/>
      <c r="DE725" s="1444">
        <f t="shared" si="20"/>
        <v>8</v>
      </c>
      <c r="DF725" s="1444"/>
      <c r="DG725" s="1444"/>
      <c r="DH725" s="1444"/>
      <c r="DI725" s="1444"/>
      <c r="DJ725" s="1444">
        <f t="shared" si="21"/>
        <v>0</v>
      </c>
      <c r="DK725" s="1444"/>
      <c r="DL725" s="1444"/>
      <c r="DM725" s="1444"/>
      <c r="DN725" s="1444"/>
      <c r="DO725" s="1444">
        <f t="shared" si="22"/>
        <v>0</v>
      </c>
      <c r="DP725" s="1444"/>
      <c r="DQ725" s="1444"/>
      <c r="DR725" s="1444"/>
      <c r="DS725" s="1444"/>
      <c r="DT725" s="6"/>
      <c r="DU725" s="1445">
        <f t="shared" si="23"/>
        <v>0</v>
      </c>
      <c r="DV725" s="1445"/>
      <c r="DW725" s="1445"/>
      <c r="DX725" s="1445"/>
      <c r="DY725" s="1445"/>
      <c r="DZ725" s="1445">
        <f t="shared" si="24"/>
        <v>0</v>
      </c>
      <c r="EA725" s="1445"/>
      <c r="EB725" s="1445"/>
      <c r="EC725" s="1445"/>
      <c r="ED725" s="1445"/>
      <c r="EE725" s="1445">
        <f t="shared" si="25"/>
        <v>0</v>
      </c>
      <c r="EF725" s="1445"/>
      <c r="EG725" s="1445"/>
      <c r="EH725" s="1445"/>
      <c r="EI725" s="1445"/>
      <c r="EJ725" s="1445">
        <f t="shared" si="26"/>
        <v>0</v>
      </c>
      <c r="EK725" s="1445"/>
      <c r="EL725" s="1445"/>
      <c r="EM725" s="1445"/>
      <c r="EN725" s="1445"/>
      <c r="EO725" s="1445">
        <f t="shared" si="27"/>
        <v>0</v>
      </c>
      <c r="EP725" s="1445"/>
      <c r="EQ725" s="1445"/>
      <c r="ER725" s="1445"/>
      <c r="ES725" s="1445"/>
      <c r="ET725" s="1445">
        <f t="shared" si="28"/>
        <v>0</v>
      </c>
      <c r="EU725" s="1445"/>
      <c r="EV725" s="1445"/>
      <c r="EW725" s="1445"/>
      <c r="EX725" s="1445"/>
      <c r="EZ725" s="1465" t="str">
        <f t="shared" si="29"/>
        <v/>
      </c>
      <c r="FA725" s="1467"/>
      <c r="FB725" s="1467"/>
      <c r="FC725" s="1467"/>
      <c r="FD725" s="1466"/>
      <c r="FE725" s="1465" t="str">
        <f t="shared" si="30"/>
        <v/>
      </c>
      <c r="FF725" s="1467"/>
      <c r="FG725" s="1467"/>
      <c r="FH725" s="1467"/>
      <c r="FI725" s="1466"/>
      <c r="FJ725" s="1465" t="str">
        <f t="shared" si="31"/>
        <v/>
      </c>
      <c r="FK725" s="1467"/>
      <c r="FL725" s="1467"/>
      <c r="FM725" s="1467"/>
      <c r="FN725" s="1466"/>
      <c r="FO725" s="1465">
        <f t="shared" si="32"/>
        <v>932</v>
      </c>
      <c r="FP725" s="1467"/>
      <c r="FQ725" s="1467"/>
      <c r="FR725" s="1467"/>
      <c r="FS725" s="1466"/>
      <c r="FT725" s="1465" t="str">
        <f t="shared" si="33"/>
        <v/>
      </c>
      <c r="FU725" s="1467"/>
      <c r="FV725" s="1467"/>
      <c r="FW725" s="1467"/>
      <c r="FX725" s="1466"/>
      <c r="FY725" s="1465" t="str">
        <f t="shared" si="34"/>
        <v/>
      </c>
      <c r="FZ725" s="1467"/>
      <c r="GA725" s="1467"/>
      <c r="GB725" s="1467"/>
      <c r="GC725" s="1466"/>
    </row>
    <row r="726" spans="1:185" ht="13" customHeight="1">
      <c r="B726" s="1336" t="s">
        <v>164</v>
      </c>
      <c r="C726" s="1337"/>
      <c r="D726" s="1337"/>
      <c r="E726" s="1337"/>
      <c r="F726" s="1338"/>
      <c r="G726" s="1349">
        <v>4</v>
      </c>
      <c r="H726" s="1350"/>
      <c r="I726" s="1350"/>
      <c r="J726" s="1351"/>
      <c r="K726" s="1342">
        <v>1125</v>
      </c>
      <c r="L726" s="1343"/>
      <c r="M726" s="1343"/>
      <c r="N726" s="1344"/>
      <c r="O726" s="1339">
        <v>1168</v>
      </c>
      <c r="P726" s="1340"/>
      <c r="Q726" s="1340"/>
      <c r="R726" s="1340"/>
      <c r="S726" s="1341"/>
      <c r="T726" s="1339">
        <v>11</v>
      </c>
      <c r="U726" s="1340"/>
      <c r="V726" s="1340"/>
      <c r="W726" s="1341"/>
      <c r="X726" s="1352">
        <f t="shared" si="8"/>
        <v>1179</v>
      </c>
      <c r="Y726" s="1353"/>
      <c r="Z726" s="1353"/>
      <c r="AA726" s="1353"/>
      <c r="AB726" s="1354"/>
      <c r="AC726" s="1359">
        <v>0.5</v>
      </c>
      <c r="AD726" s="1360"/>
      <c r="AE726" s="1360"/>
      <c r="AF726" s="1360"/>
      <c r="AG726" s="1361"/>
      <c r="AH726" s="1355">
        <f t="shared" si="35"/>
        <v>0.5</v>
      </c>
      <c r="AI726" s="1356"/>
      <c r="AJ726" s="1357"/>
      <c r="AK726" s="1336" t="s">
        <v>591</v>
      </c>
      <c r="AL726" s="1337"/>
      <c r="AM726" s="1337"/>
      <c r="AN726" s="1337"/>
      <c r="AO726" s="1338"/>
      <c r="AP726" s="3"/>
      <c r="AQ726" s="3"/>
      <c r="AR726" s="3"/>
      <c r="AS726" s="3"/>
      <c r="AY726" s="1087"/>
      <c r="AZ726" s="118">
        <f>IF($G726=0,"N/A",VLOOKUP($T$189,TC_Rent,(MATCH($B726,bedrooms,FALSE)),FALSE))</f>
        <v>2358</v>
      </c>
      <c r="BA726" s="3"/>
      <c r="BB726" s="3"/>
      <c r="BC726" s="3"/>
      <c r="BD726" s="3"/>
      <c r="BE726" s="205"/>
      <c r="BF726" s="295">
        <f t="shared" si="9"/>
        <v>4</v>
      </c>
      <c r="BG726" s="298">
        <f t="shared" si="10"/>
        <v>6.3492063492063489E-2</v>
      </c>
      <c r="BH726" s="299">
        <f t="shared" si="11"/>
        <v>3.1746031746031744E-2</v>
      </c>
      <c r="BI726" s="3"/>
      <c r="BJ726" s="3"/>
      <c r="BK726" s="3"/>
      <c r="BL726" s="3"/>
      <c r="BM726" s="3"/>
      <c r="BN726" s="3"/>
      <c r="BS726" s="295">
        <f t="shared" si="12"/>
        <v>4</v>
      </c>
      <c r="BT726" s="298">
        <f t="shared" si="13"/>
        <v>6.3492063492063489E-2</v>
      </c>
      <c r="BU726" s="299">
        <f t="shared" si="14"/>
        <v>3.1746031746031744E-2</v>
      </c>
      <c r="BV726" s="3"/>
      <c r="BW726" s="3"/>
      <c r="BX726" s="3"/>
      <c r="BY726" s="3"/>
      <c r="BZ726" s="3"/>
      <c r="CA726" s="3"/>
      <c r="CB726" s="3"/>
      <c r="CC726" s="3"/>
      <c r="CE726" s="3"/>
      <c r="CF726" s="3"/>
      <c r="CG726" s="1465">
        <f t="shared" si="36"/>
        <v>1</v>
      </c>
      <c r="CH726" s="1466"/>
      <c r="CI726" s="1471">
        <f t="shared" si="37"/>
        <v>4</v>
      </c>
      <c r="CJ726" s="1472"/>
      <c r="CK726" s="1465">
        <f t="shared" si="15"/>
        <v>0</v>
      </c>
      <c r="CL726" s="1466"/>
      <c r="CM726" s="1471">
        <f t="shared" si="16"/>
        <v>0</v>
      </c>
      <c r="CN726" s="1472"/>
      <c r="CO726" s="3"/>
      <c r="CP726" s="1460">
        <f t="shared" si="17"/>
        <v>0</v>
      </c>
      <c r="CQ726" s="1461"/>
      <c r="CR726" s="1461"/>
      <c r="CS726" s="1461"/>
      <c r="CT726" s="1462"/>
      <c r="CU726" s="1444">
        <f t="shared" si="18"/>
        <v>0</v>
      </c>
      <c r="CV726" s="1444"/>
      <c r="CW726" s="1444"/>
      <c r="CX726" s="1444"/>
      <c r="CY726" s="1444"/>
      <c r="CZ726" s="1444">
        <f t="shared" si="19"/>
        <v>0</v>
      </c>
      <c r="DA726" s="1444"/>
      <c r="DB726" s="1444"/>
      <c r="DC726" s="1444"/>
      <c r="DD726" s="1444"/>
      <c r="DE726" s="1444">
        <f t="shared" si="20"/>
        <v>4</v>
      </c>
      <c r="DF726" s="1444"/>
      <c r="DG726" s="1444"/>
      <c r="DH726" s="1444"/>
      <c r="DI726" s="1444"/>
      <c r="DJ726" s="1444">
        <f t="shared" si="21"/>
        <v>0</v>
      </c>
      <c r="DK726" s="1444"/>
      <c r="DL726" s="1444"/>
      <c r="DM726" s="1444"/>
      <c r="DN726" s="1444"/>
      <c r="DO726" s="1444">
        <f t="shared" si="22"/>
        <v>0</v>
      </c>
      <c r="DP726" s="1444"/>
      <c r="DQ726" s="1444"/>
      <c r="DR726" s="1444"/>
      <c r="DS726" s="1444"/>
      <c r="DT726" s="6"/>
      <c r="DU726" s="1445">
        <f t="shared" si="23"/>
        <v>0</v>
      </c>
      <c r="DV726" s="1445"/>
      <c r="DW726" s="1445"/>
      <c r="DX726" s="1445"/>
      <c r="DY726" s="1445"/>
      <c r="DZ726" s="1445">
        <f t="shared" si="24"/>
        <v>0</v>
      </c>
      <c r="EA726" s="1445"/>
      <c r="EB726" s="1445"/>
      <c r="EC726" s="1445"/>
      <c r="ED726" s="1445"/>
      <c r="EE726" s="1445">
        <f t="shared" si="25"/>
        <v>0</v>
      </c>
      <c r="EF726" s="1445"/>
      <c r="EG726" s="1445"/>
      <c r="EH726" s="1445"/>
      <c r="EI726" s="1445"/>
      <c r="EJ726" s="1445">
        <f t="shared" si="26"/>
        <v>0</v>
      </c>
      <c r="EK726" s="1445"/>
      <c r="EL726" s="1445"/>
      <c r="EM726" s="1445"/>
      <c r="EN726" s="1445"/>
      <c r="EO726" s="1445">
        <f t="shared" si="27"/>
        <v>0</v>
      </c>
      <c r="EP726" s="1445"/>
      <c r="EQ726" s="1445"/>
      <c r="ER726" s="1445"/>
      <c r="ES726" s="1445"/>
      <c r="ET726" s="1445">
        <f t="shared" si="28"/>
        <v>0</v>
      </c>
      <c r="EU726" s="1445"/>
      <c r="EV726" s="1445"/>
      <c r="EW726" s="1445"/>
      <c r="EX726" s="1445"/>
      <c r="EY726" s="4"/>
      <c r="EZ726" s="1465" t="str">
        <f t="shared" si="29"/>
        <v/>
      </c>
      <c r="FA726" s="1467"/>
      <c r="FB726" s="1467"/>
      <c r="FC726" s="1467"/>
      <c r="FD726" s="1466"/>
      <c r="FE726" s="1465" t="str">
        <f t="shared" si="30"/>
        <v/>
      </c>
      <c r="FF726" s="1467"/>
      <c r="FG726" s="1467"/>
      <c r="FH726" s="1467"/>
      <c r="FI726" s="1466"/>
      <c r="FJ726" s="1465" t="str">
        <f t="shared" si="31"/>
        <v/>
      </c>
      <c r="FK726" s="1467"/>
      <c r="FL726" s="1467"/>
      <c r="FM726" s="1467"/>
      <c r="FN726" s="1466"/>
      <c r="FO726" s="1465">
        <f t="shared" si="32"/>
        <v>1168</v>
      </c>
      <c r="FP726" s="1467"/>
      <c r="FQ726" s="1467"/>
      <c r="FR726" s="1467"/>
      <c r="FS726" s="1466"/>
      <c r="FT726" s="1465" t="str">
        <f t="shared" si="33"/>
        <v/>
      </c>
      <c r="FU726" s="1467"/>
      <c r="FV726" s="1467"/>
      <c r="FW726" s="1467"/>
      <c r="FX726" s="1466"/>
      <c r="FY726" s="1465" t="str">
        <f t="shared" si="34"/>
        <v/>
      </c>
      <c r="FZ726" s="1467"/>
      <c r="GA726" s="1467"/>
      <c r="GB726" s="1467"/>
      <c r="GC726" s="1466"/>
    </row>
    <row r="727" spans="1:185" ht="13" customHeight="1">
      <c r="A727" s="4"/>
      <c r="B727" s="1336"/>
      <c r="C727" s="1337"/>
      <c r="D727" s="1337"/>
      <c r="E727" s="1337"/>
      <c r="F727" s="1338"/>
      <c r="G727" s="1349"/>
      <c r="H727" s="1350"/>
      <c r="I727" s="1350"/>
      <c r="J727" s="1351"/>
      <c r="K727" s="1342"/>
      <c r="L727" s="1343"/>
      <c r="M727" s="1343"/>
      <c r="N727" s="1344"/>
      <c r="O727" s="1339"/>
      <c r="P727" s="1340"/>
      <c r="Q727" s="1340"/>
      <c r="R727" s="1340"/>
      <c r="S727" s="1341"/>
      <c r="T727" s="1339"/>
      <c r="U727" s="1340"/>
      <c r="V727" s="1340"/>
      <c r="W727" s="1341"/>
      <c r="X727" s="1352">
        <f t="shared" si="8"/>
        <v>0</v>
      </c>
      <c r="Y727" s="1353"/>
      <c r="Z727" s="1353"/>
      <c r="AA727" s="1353"/>
      <c r="AB727" s="1354"/>
      <c r="AC727" s="1359"/>
      <c r="AD727" s="1360"/>
      <c r="AE727" s="1360"/>
      <c r="AF727" s="1360"/>
      <c r="AG727" s="1361"/>
      <c r="AH727" s="1355" t="str">
        <f t="shared" si="35"/>
        <v/>
      </c>
      <c r="AI727" s="1356"/>
      <c r="AJ727" s="1357"/>
      <c r="AK727" s="1336" t="s">
        <v>591</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5">
        <f t="shared" si="36"/>
        <v>0</v>
      </c>
      <c r="CH727" s="1466"/>
      <c r="CI727" s="1471">
        <f t="shared" si="37"/>
        <v>0</v>
      </c>
      <c r="CJ727" s="1472"/>
      <c r="CK727" s="1465">
        <f t="shared" si="15"/>
        <v>0</v>
      </c>
      <c r="CL727" s="1466"/>
      <c r="CM727" s="1471">
        <f t="shared" si="16"/>
        <v>0</v>
      </c>
      <c r="CN727" s="1472"/>
      <c r="CO727" s="3"/>
      <c r="CP727" s="1460">
        <f t="shared" si="17"/>
        <v>0</v>
      </c>
      <c r="CQ727" s="1461"/>
      <c r="CR727" s="1461"/>
      <c r="CS727" s="1461"/>
      <c r="CT727" s="1462"/>
      <c r="CU727" s="1444">
        <f t="shared" si="18"/>
        <v>0</v>
      </c>
      <c r="CV727" s="1444"/>
      <c r="CW727" s="1444"/>
      <c r="CX727" s="1444"/>
      <c r="CY727" s="1444"/>
      <c r="CZ727" s="1444">
        <f t="shared" si="19"/>
        <v>0</v>
      </c>
      <c r="DA727" s="1444"/>
      <c r="DB727" s="1444"/>
      <c r="DC727" s="1444"/>
      <c r="DD727" s="1444"/>
      <c r="DE727" s="1444">
        <f t="shared" si="20"/>
        <v>0</v>
      </c>
      <c r="DF727" s="1444"/>
      <c r="DG727" s="1444"/>
      <c r="DH727" s="1444"/>
      <c r="DI727" s="1444"/>
      <c r="DJ727" s="1444">
        <f t="shared" si="21"/>
        <v>0</v>
      </c>
      <c r="DK727" s="1444"/>
      <c r="DL727" s="1444"/>
      <c r="DM727" s="1444"/>
      <c r="DN727" s="1444"/>
      <c r="DO727" s="1444">
        <f t="shared" si="22"/>
        <v>0</v>
      </c>
      <c r="DP727" s="1444"/>
      <c r="DQ727" s="1444"/>
      <c r="DR727" s="1444"/>
      <c r="DS727" s="1444"/>
      <c r="DT727" s="6"/>
      <c r="DU727" s="1445">
        <f t="shared" si="23"/>
        <v>0</v>
      </c>
      <c r="DV727" s="1445"/>
      <c r="DW727" s="1445"/>
      <c r="DX727" s="1445"/>
      <c r="DY727" s="1445"/>
      <c r="DZ727" s="1445">
        <f t="shared" si="24"/>
        <v>0</v>
      </c>
      <c r="EA727" s="1445"/>
      <c r="EB727" s="1445"/>
      <c r="EC727" s="1445"/>
      <c r="ED727" s="1445"/>
      <c r="EE727" s="1445">
        <f t="shared" si="25"/>
        <v>0</v>
      </c>
      <c r="EF727" s="1445"/>
      <c r="EG727" s="1445"/>
      <c r="EH727" s="1445"/>
      <c r="EI727" s="1445"/>
      <c r="EJ727" s="1445">
        <f t="shared" si="26"/>
        <v>0</v>
      </c>
      <c r="EK727" s="1445"/>
      <c r="EL727" s="1445"/>
      <c r="EM727" s="1445"/>
      <c r="EN727" s="1445"/>
      <c r="EO727" s="1445">
        <f t="shared" si="27"/>
        <v>0</v>
      </c>
      <c r="EP727" s="1445"/>
      <c r="EQ727" s="1445"/>
      <c r="ER727" s="1445"/>
      <c r="ES727" s="1445"/>
      <c r="ET727" s="1445">
        <f t="shared" si="28"/>
        <v>0</v>
      </c>
      <c r="EU727" s="1445"/>
      <c r="EV727" s="1445"/>
      <c r="EW727" s="1445"/>
      <c r="EX727" s="1445"/>
      <c r="EY727" s="4"/>
      <c r="EZ727" s="1465" t="str">
        <f t="shared" si="29"/>
        <v/>
      </c>
      <c r="FA727" s="1467"/>
      <c r="FB727" s="1467"/>
      <c r="FC727" s="1467"/>
      <c r="FD727" s="1466"/>
      <c r="FE727" s="1465" t="str">
        <f t="shared" si="30"/>
        <v/>
      </c>
      <c r="FF727" s="1467"/>
      <c r="FG727" s="1467"/>
      <c r="FH727" s="1467"/>
      <c r="FI727" s="1466"/>
      <c r="FJ727" s="1465" t="str">
        <f t="shared" si="31"/>
        <v/>
      </c>
      <c r="FK727" s="1467"/>
      <c r="FL727" s="1467"/>
      <c r="FM727" s="1467"/>
      <c r="FN727" s="1466"/>
      <c r="FO727" s="1465" t="str">
        <f t="shared" si="32"/>
        <v/>
      </c>
      <c r="FP727" s="1467"/>
      <c r="FQ727" s="1467"/>
      <c r="FR727" s="1467"/>
      <c r="FS727" s="1466"/>
      <c r="FT727" s="1465" t="str">
        <f t="shared" si="33"/>
        <v/>
      </c>
      <c r="FU727" s="1467"/>
      <c r="FV727" s="1467"/>
      <c r="FW727" s="1467"/>
      <c r="FX727" s="1466"/>
      <c r="FY727" s="1465" t="str">
        <f t="shared" si="34"/>
        <v/>
      </c>
      <c r="FZ727" s="1467"/>
      <c r="GA727" s="1467"/>
      <c r="GB727" s="1467"/>
      <c r="GC727" s="1466"/>
    </row>
    <row r="728" spans="1:185" ht="13" customHeight="1">
      <c r="A728" s="4"/>
      <c r="B728" s="1336"/>
      <c r="C728" s="1337"/>
      <c r="D728" s="1337"/>
      <c r="E728" s="1337"/>
      <c r="F728" s="1338"/>
      <c r="G728" s="1349"/>
      <c r="H728" s="1350"/>
      <c r="I728" s="1350"/>
      <c r="J728" s="1351"/>
      <c r="K728" s="1342"/>
      <c r="L728" s="1343"/>
      <c r="M728" s="1343"/>
      <c r="N728" s="1344"/>
      <c r="O728" s="1339"/>
      <c r="P728" s="1340"/>
      <c r="Q728" s="1340"/>
      <c r="R728" s="1340"/>
      <c r="S728" s="1341"/>
      <c r="T728" s="1339"/>
      <c r="U728" s="1340"/>
      <c r="V728" s="1340"/>
      <c r="W728" s="1341"/>
      <c r="X728" s="1352">
        <f t="shared" si="8"/>
        <v>0</v>
      </c>
      <c r="Y728" s="1353"/>
      <c r="Z728" s="1353"/>
      <c r="AA728" s="1353"/>
      <c r="AB728" s="1354"/>
      <c r="AC728" s="1359"/>
      <c r="AD728" s="1360"/>
      <c r="AE728" s="1360"/>
      <c r="AF728" s="1360"/>
      <c r="AG728" s="1361"/>
      <c r="AH728" s="1355" t="str">
        <f t="shared" si="35"/>
        <v/>
      </c>
      <c r="AI728" s="1356"/>
      <c r="AJ728" s="1357"/>
      <c r="AK728" s="1336" t="s">
        <v>591</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5">
        <f t="shared" si="36"/>
        <v>0</v>
      </c>
      <c r="CH728" s="1466"/>
      <c r="CI728" s="1471">
        <f t="shared" si="37"/>
        <v>0</v>
      </c>
      <c r="CJ728" s="1472"/>
      <c r="CK728" s="1465">
        <f t="shared" si="15"/>
        <v>0</v>
      </c>
      <c r="CL728" s="1466"/>
      <c r="CM728" s="1471">
        <f t="shared" si="16"/>
        <v>0</v>
      </c>
      <c r="CN728" s="1472"/>
      <c r="CO728" s="3"/>
      <c r="CP728" s="1460">
        <f t="shared" si="17"/>
        <v>0</v>
      </c>
      <c r="CQ728" s="1461"/>
      <c r="CR728" s="1461"/>
      <c r="CS728" s="1461"/>
      <c r="CT728" s="1462"/>
      <c r="CU728" s="1444">
        <f t="shared" si="18"/>
        <v>0</v>
      </c>
      <c r="CV728" s="1444"/>
      <c r="CW728" s="1444"/>
      <c r="CX728" s="1444"/>
      <c r="CY728" s="1444"/>
      <c r="CZ728" s="1444">
        <f t="shared" si="19"/>
        <v>0</v>
      </c>
      <c r="DA728" s="1444"/>
      <c r="DB728" s="1444"/>
      <c r="DC728" s="1444"/>
      <c r="DD728" s="1444"/>
      <c r="DE728" s="1444">
        <f t="shared" si="20"/>
        <v>0</v>
      </c>
      <c r="DF728" s="1444"/>
      <c r="DG728" s="1444"/>
      <c r="DH728" s="1444"/>
      <c r="DI728" s="1444"/>
      <c r="DJ728" s="1444">
        <f t="shared" si="21"/>
        <v>0</v>
      </c>
      <c r="DK728" s="1444"/>
      <c r="DL728" s="1444"/>
      <c r="DM728" s="1444"/>
      <c r="DN728" s="1444"/>
      <c r="DO728" s="1444">
        <f t="shared" si="22"/>
        <v>0</v>
      </c>
      <c r="DP728" s="1444"/>
      <c r="DQ728" s="1444"/>
      <c r="DR728" s="1444"/>
      <c r="DS728" s="1444"/>
      <c r="DT728" s="6"/>
      <c r="DU728" s="1445">
        <f t="shared" si="23"/>
        <v>0</v>
      </c>
      <c r="DV728" s="1445"/>
      <c r="DW728" s="1445"/>
      <c r="DX728" s="1445"/>
      <c r="DY728" s="1445"/>
      <c r="DZ728" s="1445">
        <f t="shared" si="24"/>
        <v>0</v>
      </c>
      <c r="EA728" s="1445"/>
      <c r="EB728" s="1445"/>
      <c r="EC728" s="1445"/>
      <c r="ED728" s="1445"/>
      <c r="EE728" s="1445">
        <f t="shared" si="25"/>
        <v>0</v>
      </c>
      <c r="EF728" s="1445"/>
      <c r="EG728" s="1445"/>
      <c r="EH728" s="1445"/>
      <c r="EI728" s="1445"/>
      <c r="EJ728" s="1445">
        <f t="shared" si="26"/>
        <v>0</v>
      </c>
      <c r="EK728" s="1445"/>
      <c r="EL728" s="1445"/>
      <c r="EM728" s="1445"/>
      <c r="EN728" s="1445"/>
      <c r="EO728" s="1445">
        <f t="shared" si="27"/>
        <v>0</v>
      </c>
      <c r="EP728" s="1445"/>
      <c r="EQ728" s="1445"/>
      <c r="ER728" s="1445"/>
      <c r="ES728" s="1445"/>
      <c r="ET728" s="1445">
        <f t="shared" si="28"/>
        <v>0</v>
      </c>
      <c r="EU728" s="1445"/>
      <c r="EV728" s="1445"/>
      <c r="EW728" s="1445"/>
      <c r="EX728" s="1445"/>
      <c r="EY728" s="4"/>
      <c r="EZ728" s="1465" t="str">
        <f t="shared" si="29"/>
        <v/>
      </c>
      <c r="FA728" s="1467"/>
      <c r="FB728" s="1467"/>
      <c r="FC728" s="1467"/>
      <c r="FD728" s="1466"/>
      <c r="FE728" s="1465" t="str">
        <f t="shared" si="30"/>
        <v/>
      </c>
      <c r="FF728" s="1467"/>
      <c r="FG728" s="1467"/>
      <c r="FH728" s="1467"/>
      <c r="FI728" s="1466"/>
      <c r="FJ728" s="1465" t="str">
        <f t="shared" si="31"/>
        <v/>
      </c>
      <c r="FK728" s="1467"/>
      <c r="FL728" s="1467"/>
      <c r="FM728" s="1467"/>
      <c r="FN728" s="1466"/>
      <c r="FO728" s="1465" t="str">
        <f t="shared" si="32"/>
        <v/>
      </c>
      <c r="FP728" s="1467"/>
      <c r="FQ728" s="1467"/>
      <c r="FR728" s="1467"/>
      <c r="FS728" s="1466"/>
      <c r="FT728" s="1465" t="str">
        <f t="shared" si="33"/>
        <v/>
      </c>
      <c r="FU728" s="1467"/>
      <c r="FV728" s="1467"/>
      <c r="FW728" s="1467"/>
      <c r="FX728" s="1466"/>
      <c r="FY728" s="1465" t="str">
        <f t="shared" si="34"/>
        <v/>
      </c>
      <c r="FZ728" s="1467"/>
      <c r="GA728" s="1467"/>
      <c r="GB728" s="1467"/>
      <c r="GC728" s="1466"/>
    </row>
    <row r="729" spans="1:185" ht="13" customHeight="1">
      <c r="A729" s="4"/>
      <c r="B729" s="1336"/>
      <c r="C729" s="1337"/>
      <c r="D729" s="1337"/>
      <c r="E729" s="1337"/>
      <c r="F729" s="1338"/>
      <c r="G729" s="1349"/>
      <c r="H729" s="1350"/>
      <c r="I729" s="1350"/>
      <c r="J729" s="1351"/>
      <c r="K729" s="1342"/>
      <c r="L729" s="1343"/>
      <c r="M729" s="1343"/>
      <c r="N729" s="1344"/>
      <c r="O729" s="1339"/>
      <c r="P729" s="1340"/>
      <c r="Q729" s="1340"/>
      <c r="R729" s="1340"/>
      <c r="S729" s="1341"/>
      <c r="T729" s="1339"/>
      <c r="U729" s="1340"/>
      <c r="V729" s="1340"/>
      <c r="W729" s="1341"/>
      <c r="X729" s="1352">
        <f t="shared" si="8"/>
        <v>0</v>
      </c>
      <c r="Y729" s="1353"/>
      <c r="Z729" s="1353"/>
      <c r="AA729" s="1353"/>
      <c r="AB729" s="1354"/>
      <c r="AC729" s="1359"/>
      <c r="AD729" s="1360"/>
      <c r="AE729" s="1360"/>
      <c r="AF729" s="1360"/>
      <c r="AG729" s="1361"/>
      <c r="AH729" s="1355" t="str">
        <f t="shared" si="35"/>
        <v/>
      </c>
      <c r="AI729" s="1356"/>
      <c r="AJ729" s="1357"/>
      <c r="AK729" s="1336" t="s">
        <v>591</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5">
        <f t="shared" si="36"/>
        <v>0</v>
      </c>
      <c r="CH729" s="1466"/>
      <c r="CI729" s="1471">
        <f t="shared" si="37"/>
        <v>0</v>
      </c>
      <c r="CJ729" s="1472"/>
      <c r="CK729" s="1465">
        <f t="shared" si="15"/>
        <v>0</v>
      </c>
      <c r="CL729" s="1466"/>
      <c r="CM729" s="1471">
        <f t="shared" si="16"/>
        <v>0</v>
      </c>
      <c r="CN729" s="1472"/>
      <c r="CO729" s="3"/>
      <c r="CP729" s="1460">
        <f t="shared" si="17"/>
        <v>0</v>
      </c>
      <c r="CQ729" s="1461"/>
      <c r="CR729" s="1461"/>
      <c r="CS729" s="1461"/>
      <c r="CT729" s="1462"/>
      <c r="CU729" s="1444">
        <f t="shared" si="18"/>
        <v>0</v>
      </c>
      <c r="CV729" s="1444"/>
      <c r="CW729" s="1444"/>
      <c r="CX729" s="1444"/>
      <c r="CY729" s="1444"/>
      <c r="CZ729" s="1444">
        <f t="shared" si="19"/>
        <v>0</v>
      </c>
      <c r="DA729" s="1444"/>
      <c r="DB729" s="1444"/>
      <c r="DC729" s="1444"/>
      <c r="DD729" s="1444"/>
      <c r="DE729" s="1444">
        <f t="shared" si="20"/>
        <v>0</v>
      </c>
      <c r="DF729" s="1444"/>
      <c r="DG729" s="1444"/>
      <c r="DH729" s="1444"/>
      <c r="DI729" s="1444"/>
      <c r="DJ729" s="1444">
        <f t="shared" si="21"/>
        <v>0</v>
      </c>
      <c r="DK729" s="1444"/>
      <c r="DL729" s="1444"/>
      <c r="DM729" s="1444"/>
      <c r="DN729" s="1444"/>
      <c r="DO729" s="1444">
        <f t="shared" si="22"/>
        <v>0</v>
      </c>
      <c r="DP729" s="1444"/>
      <c r="DQ729" s="1444"/>
      <c r="DR729" s="1444"/>
      <c r="DS729" s="1444"/>
      <c r="DT729" s="6"/>
      <c r="DU729" s="1445">
        <f t="shared" si="23"/>
        <v>0</v>
      </c>
      <c r="DV729" s="1445"/>
      <c r="DW729" s="1445"/>
      <c r="DX729" s="1445"/>
      <c r="DY729" s="1445"/>
      <c r="DZ729" s="1445">
        <f t="shared" si="24"/>
        <v>0</v>
      </c>
      <c r="EA729" s="1445"/>
      <c r="EB729" s="1445"/>
      <c r="EC729" s="1445"/>
      <c r="ED729" s="1445"/>
      <c r="EE729" s="1445">
        <f t="shared" si="25"/>
        <v>0</v>
      </c>
      <c r="EF729" s="1445"/>
      <c r="EG729" s="1445"/>
      <c r="EH729" s="1445"/>
      <c r="EI729" s="1445"/>
      <c r="EJ729" s="1445">
        <f t="shared" si="26"/>
        <v>0</v>
      </c>
      <c r="EK729" s="1445"/>
      <c r="EL729" s="1445"/>
      <c r="EM729" s="1445"/>
      <c r="EN729" s="1445"/>
      <c r="EO729" s="1445">
        <f t="shared" si="27"/>
        <v>0</v>
      </c>
      <c r="EP729" s="1445"/>
      <c r="EQ729" s="1445"/>
      <c r="ER729" s="1445"/>
      <c r="ES729" s="1445"/>
      <c r="ET729" s="1445">
        <f t="shared" si="28"/>
        <v>0</v>
      </c>
      <c r="EU729" s="1445"/>
      <c r="EV729" s="1445"/>
      <c r="EW729" s="1445"/>
      <c r="EX729" s="1445"/>
      <c r="EZ729" s="1465" t="str">
        <f t="shared" si="29"/>
        <v/>
      </c>
      <c r="FA729" s="1467"/>
      <c r="FB729" s="1467"/>
      <c r="FC729" s="1467"/>
      <c r="FD729" s="1466"/>
      <c r="FE729" s="1465" t="str">
        <f t="shared" si="30"/>
        <v/>
      </c>
      <c r="FF729" s="1467"/>
      <c r="FG729" s="1467"/>
      <c r="FH729" s="1467"/>
      <c r="FI729" s="1466"/>
      <c r="FJ729" s="1465" t="str">
        <f t="shared" si="31"/>
        <v/>
      </c>
      <c r="FK729" s="1467"/>
      <c r="FL729" s="1467"/>
      <c r="FM729" s="1467"/>
      <c r="FN729" s="1466"/>
      <c r="FO729" s="1465" t="str">
        <f t="shared" si="32"/>
        <v/>
      </c>
      <c r="FP729" s="1467"/>
      <c r="FQ729" s="1467"/>
      <c r="FR729" s="1467"/>
      <c r="FS729" s="1466"/>
      <c r="FT729" s="1465" t="str">
        <f t="shared" si="33"/>
        <v/>
      </c>
      <c r="FU729" s="1467"/>
      <c r="FV729" s="1467"/>
      <c r="FW729" s="1467"/>
      <c r="FX729" s="1466"/>
      <c r="FY729" s="1465" t="str">
        <f t="shared" si="34"/>
        <v/>
      </c>
      <c r="FZ729" s="1467"/>
      <c r="GA729" s="1467"/>
      <c r="GB729" s="1467"/>
      <c r="GC729" s="1466"/>
    </row>
    <row r="730" spans="1:185" ht="13" customHeight="1">
      <c r="B730" s="1336"/>
      <c r="C730" s="1337"/>
      <c r="D730" s="1337"/>
      <c r="E730" s="1337"/>
      <c r="F730" s="1338"/>
      <c r="G730" s="1349"/>
      <c r="H730" s="1350"/>
      <c r="I730" s="1350"/>
      <c r="J730" s="1351"/>
      <c r="K730" s="1342"/>
      <c r="L730" s="1343"/>
      <c r="M730" s="1343"/>
      <c r="N730" s="1344"/>
      <c r="O730" s="1339"/>
      <c r="P730" s="1340"/>
      <c r="Q730" s="1340"/>
      <c r="R730" s="1340"/>
      <c r="S730" s="1341"/>
      <c r="T730" s="1339"/>
      <c r="U730" s="1340"/>
      <c r="V730" s="1340"/>
      <c r="W730" s="1341"/>
      <c r="X730" s="1352">
        <f t="shared" si="8"/>
        <v>0</v>
      </c>
      <c r="Y730" s="1353"/>
      <c r="Z730" s="1353"/>
      <c r="AA730" s="1353"/>
      <c r="AB730" s="1354"/>
      <c r="AC730" s="1359"/>
      <c r="AD730" s="1360"/>
      <c r="AE730" s="1360"/>
      <c r="AF730" s="1360"/>
      <c r="AG730" s="1361"/>
      <c r="AH730" s="1355" t="str">
        <f t="shared" si="35"/>
        <v/>
      </c>
      <c r="AI730" s="1356"/>
      <c r="AJ730" s="1357"/>
      <c r="AK730" s="1336" t="s">
        <v>591</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5">
        <f t="shared" si="36"/>
        <v>0</v>
      </c>
      <c r="CH730" s="1466"/>
      <c r="CI730" s="1471">
        <f t="shared" si="37"/>
        <v>0</v>
      </c>
      <c r="CJ730" s="1472"/>
      <c r="CK730" s="1465">
        <f t="shared" si="15"/>
        <v>0</v>
      </c>
      <c r="CL730" s="1466"/>
      <c r="CM730" s="1471">
        <f t="shared" si="16"/>
        <v>0</v>
      </c>
      <c r="CN730" s="1472"/>
      <c r="CO730" s="3"/>
      <c r="CP730" s="1460">
        <f t="shared" si="17"/>
        <v>0</v>
      </c>
      <c r="CQ730" s="1461"/>
      <c r="CR730" s="1461"/>
      <c r="CS730" s="1461"/>
      <c r="CT730" s="1462"/>
      <c r="CU730" s="1444">
        <f t="shared" si="18"/>
        <v>0</v>
      </c>
      <c r="CV730" s="1444"/>
      <c r="CW730" s="1444"/>
      <c r="CX730" s="1444"/>
      <c r="CY730" s="1444"/>
      <c r="CZ730" s="1444">
        <f t="shared" si="19"/>
        <v>0</v>
      </c>
      <c r="DA730" s="1444"/>
      <c r="DB730" s="1444"/>
      <c r="DC730" s="1444"/>
      <c r="DD730" s="1444"/>
      <c r="DE730" s="1444">
        <f t="shared" si="20"/>
        <v>0</v>
      </c>
      <c r="DF730" s="1444"/>
      <c r="DG730" s="1444"/>
      <c r="DH730" s="1444"/>
      <c r="DI730" s="1444"/>
      <c r="DJ730" s="1444">
        <f t="shared" si="21"/>
        <v>0</v>
      </c>
      <c r="DK730" s="1444"/>
      <c r="DL730" s="1444"/>
      <c r="DM730" s="1444"/>
      <c r="DN730" s="1444"/>
      <c r="DO730" s="1444">
        <f t="shared" si="22"/>
        <v>0</v>
      </c>
      <c r="DP730" s="1444"/>
      <c r="DQ730" s="1444"/>
      <c r="DR730" s="1444"/>
      <c r="DS730" s="1444"/>
      <c r="DT730" s="6"/>
      <c r="DU730" s="1445">
        <f t="shared" si="23"/>
        <v>0</v>
      </c>
      <c r="DV730" s="1445"/>
      <c r="DW730" s="1445"/>
      <c r="DX730" s="1445"/>
      <c r="DY730" s="1445"/>
      <c r="DZ730" s="1445">
        <f t="shared" si="24"/>
        <v>0</v>
      </c>
      <c r="EA730" s="1445"/>
      <c r="EB730" s="1445"/>
      <c r="EC730" s="1445"/>
      <c r="ED730" s="1445"/>
      <c r="EE730" s="1445">
        <f t="shared" si="25"/>
        <v>0</v>
      </c>
      <c r="EF730" s="1445"/>
      <c r="EG730" s="1445"/>
      <c r="EH730" s="1445"/>
      <c r="EI730" s="1445"/>
      <c r="EJ730" s="1445">
        <f t="shared" si="26"/>
        <v>0</v>
      </c>
      <c r="EK730" s="1445"/>
      <c r="EL730" s="1445"/>
      <c r="EM730" s="1445"/>
      <c r="EN730" s="1445"/>
      <c r="EO730" s="1445">
        <f t="shared" si="27"/>
        <v>0</v>
      </c>
      <c r="EP730" s="1445"/>
      <c r="EQ730" s="1445"/>
      <c r="ER730" s="1445"/>
      <c r="ES730" s="1445"/>
      <c r="ET730" s="1445">
        <f t="shared" si="28"/>
        <v>0</v>
      </c>
      <c r="EU730" s="1445"/>
      <c r="EV730" s="1445"/>
      <c r="EW730" s="1445"/>
      <c r="EX730" s="1445"/>
      <c r="EZ730" s="1465" t="str">
        <f t="shared" si="29"/>
        <v/>
      </c>
      <c r="FA730" s="1467"/>
      <c r="FB730" s="1467"/>
      <c r="FC730" s="1467"/>
      <c r="FD730" s="1466"/>
      <c r="FE730" s="1465" t="str">
        <f t="shared" si="30"/>
        <v/>
      </c>
      <c r="FF730" s="1467"/>
      <c r="FG730" s="1467"/>
      <c r="FH730" s="1467"/>
      <c r="FI730" s="1466"/>
      <c r="FJ730" s="1465" t="str">
        <f t="shared" si="31"/>
        <v/>
      </c>
      <c r="FK730" s="1467"/>
      <c r="FL730" s="1467"/>
      <c r="FM730" s="1467"/>
      <c r="FN730" s="1466"/>
      <c r="FO730" s="1465" t="str">
        <f t="shared" si="32"/>
        <v/>
      </c>
      <c r="FP730" s="1467"/>
      <c r="FQ730" s="1467"/>
      <c r="FR730" s="1467"/>
      <c r="FS730" s="1466"/>
      <c r="FT730" s="1465" t="str">
        <f t="shared" si="33"/>
        <v/>
      </c>
      <c r="FU730" s="1467"/>
      <c r="FV730" s="1467"/>
      <c r="FW730" s="1467"/>
      <c r="FX730" s="1466"/>
      <c r="FY730" s="1465" t="str">
        <f t="shared" si="34"/>
        <v/>
      </c>
      <c r="FZ730" s="1467"/>
      <c r="GA730" s="1467"/>
      <c r="GB730" s="1467"/>
      <c r="GC730" s="1466"/>
    </row>
    <row r="731" spans="1:185" ht="13" customHeight="1">
      <c r="B731" s="1336"/>
      <c r="C731" s="1337"/>
      <c r="D731" s="1337"/>
      <c r="E731" s="1337"/>
      <c r="F731" s="1338"/>
      <c r="G731" s="1349"/>
      <c r="H731" s="1350"/>
      <c r="I731" s="1350"/>
      <c r="J731" s="1351"/>
      <c r="K731" s="1342"/>
      <c r="L731" s="1343"/>
      <c r="M731" s="1343"/>
      <c r="N731" s="1344"/>
      <c r="O731" s="1339"/>
      <c r="P731" s="1340"/>
      <c r="Q731" s="1340"/>
      <c r="R731" s="1340"/>
      <c r="S731" s="1341"/>
      <c r="T731" s="1339"/>
      <c r="U731" s="1340"/>
      <c r="V731" s="1340"/>
      <c r="W731" s="1341"/>
      <c r="X731" s="1352">
        <f t="shared" si="8"/>
        <v>0</v>
      </c>
      <c r="Y731" s="1353"/>
      <c r="Z731" s="1353"/>
      <c r="AA731" s="1353"/>
      <c r="AB731" s="1354"/>
      <c r="AC731" s="1359"/>
      <c r="AD731" s="1360"/>
      <c r="AE731" s="1360"/>
      <c r="AF731" s="1360"/>
      <c r="AG731" s="1361"/>
      <c r="AH731" s="1355" t="str">
        <f t="shared" si="35"/>
        <v/>
      </c>
      <c r="AI731" s="1356"/>
      <c r="AJ731" s="1357"/>
      <c r="AK731" s="1336" t="s">
        <v>591</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5">
        <f t="shared" si="36"/>
        <v>0</v>
      </c>
      <c r="CH731" s="1466"/>
      <c r="CI731" s="1471">
        <f t="shared" si="37"/>
        <v>0</v>
      </c>
      <c r="CJ731" s="1472"/>
      <c r="CK731" s="1465">
        <f t="shared" si="15"/>
        <v>0</v>
      </c>
      <c r="CL731" s="1466"/>
      <c r="CM731" s="1471">
        <f t="shared" si="16"/>
        <v>0</v>
      </c>
      <c r="CN731" s="1472"/>
      <c r="CO731" s="3"/>
      <c r="CP731" s="1460">
        <f t="shared" si="17"/>
        <v>0</v>
      </c>
      <c r="CQ731" s="1461"/>
      <c r="CR731" s="1461"/>
      <c r="CS731" s="1461"/>
      <c r="CT731" s="1462"/>
      <c r="CU731" s="1444">
        <f t="shared" si="18"/>
        <v>0</v>
      </c>
      <c r="CV731" s="1444"/>
      <c r="CW731" s="1444"/>
      <c r="CX731" s="1444"/>
      <c r="CY731" s="1444"/>
      <c r="CZ731" s="1444">
        <f t="shared" si="19"/>
        <v>0</v>
      </c>
      <c r="DA731" s="1444"/>
      <c r="DB731" s="1444"/>
      <c r="DC731" s="1444"/>
      <c r="DD731" s="1444"/>
      <c r="DE731" s="1444">
        <f t="shared" si="20"/>
        <v>0</v>
      </c>
      <c r="DF731" s="1444"/>
      <c r="DG731" s="1444"/>
      <c r="DH731" s="1444"/>
      <c r="DI731" s="1444"/>
      <c r="DJ731" s="1444">
        <f t="shared" si="21"/>
        <v>0</v>
      </c>
      <c r="DK731" s="1444"/>
      <c r="DL731" s="1444"/>
      <c r="DM731" s="1444"/>
      <c r="DN731" s="1444"/>
      <c r="DO731" s="1444">
        <f t="shared" si="22"/>
        <v>0</v>
      </c>
      <c r="DP731" s="1444"/>
      <c r="DQ731" s="1444"/>
      <c r="DR731" s="1444"/>
      <c r="DS731" s="1444"/>
      <c r="DT731" s="6"/>
      <c r="DU731" s="1445">
        <f t="shared" si="23"/>
        <v>0</v>
      </c>
      <c r="DV731" s="1445"/>
      <c r="DW731" s="1445"/>
      <c r="DX731" s="1445"/>
      <c r="DY731" s="1445"/>
      <c r="DZ731" s="1445">
        <f t="shared" si="24"/>
        <v>0</v>
      </c>
      <c r="EA731" s="1445"/>
      <c r="EB731" s="1445"/>
      <c r="EC731" s="1445"/>
      <c r="ED731" s="1445"/>
      <c r="EE731" s="1445">
        <f t="shared" si="25"/>
        <v>0</v>
      </c>
      <c r="EF731" s="1445"/>
      <c r="EG731" s="1445"/>
      <c r="EH731" s="1445"/>
      <c r="EI731" s="1445"/>
      <c r="EJ731" s="1445">
        <f t="shared" si="26"/>
        <v>0</v>
      </c>
      <c r="EK731" s="1445"/>
      <c r="EL731" s="1445"/>
      <c r="EM731" s="1445"/>
      <c r="EN731" s="1445"/>
      <c r="EO731" s="1445">
        <f t="shared" si="27"/>
        <v>0</v>
      </c>
      <c r="EP731" s="1445"/>
      <c r="EQ731" s="1445"/>
      <c r="ER731" s="1445"/>
      <c r="ES731" s="1445"/>
      <c r="ET731" s="1445">
        <f t="shared" si="28"/>
        <v>0</v>
      </c>
      <c r="EU731" s="1445"/>
      <c r="EV731" s="1445"/>
      <c r="EW731" s="1445"/>
      <c r="EX731" s="1445"/>
      <c r="EZ731" s="1465" t="str">
        <f t="shared" si="29"/>
        <v/>
      </c>
      <c r="FA731" s="1467"/>
      <c r="FB731" s="1467"/>
      <c r="FC731" s="1467"/>
      <c r="FD731" s="1466"/>
      <c r="FE731" s="1465" t="str">
        <f t="shared" si="30"/>
        <v/>
      </c>
      <c r="FF731" s="1467"/>
      <c r="FG731" s="1467"/>
      <c r="FH731" s="1467"/>
      <c r="FI731" s="1466"/>
      <c r="FJ731" s="1465" t="str">
        <f t="shared" si="31"/>
        <v/>
      </c>
      <c r="FK731" s="1467"/>
      <c r="FL731" s="1467"/>
      <c r="FM731" s="1467"/>
      <c r="FN731" s="1466"/>
      <c r="FO731" s="1465" t="str">
        <f t="shared" si="32"/>
        <v/>
      </c>
      <c r="FP731" s="1467"/>
      <c r="FQ731" s="1467"/>
      <c r="FR731" s="1467"/>
      <c r="FS731" s="1466"/>
      <c r="FT731" s="1465" t="str">
        <f t="shared" si="33"/>
        <v/>
      </c>
      <c r="FU731" s="1467"/>
      <c r="FV731" s="1467"/>
      <c r="FW731" s="1467"/>
      <c r="FX731" s="1466"/>
      <c r="FY731" s="1465" t="str">
        <f t="shared" si="34"/>
        <v/>
      </c>
      <c r="FZ731" s="1467"/>
      <c r="GA731" s="1467"/>
      <c r="GB731" s="1467"/>
      <c r="GC731" s="1466"/>
    </row>
    <row r="732" spans="1:185" ht="13" customHeight="1">
      <c r="B732" s="1336"/>
      <c r="C732" s="1337"/>
      <c r="D732" s="1337"/>
      <c r="E732" s="1337"/>
      <c r="F732" s="1338"/>
      <c r="G732" s="1349"/>
      <c r="H732" s="1350"/>
      <c r="I732" s="1350"/>
      <c r="J732" s="1351"/>
      <c r="K732" s="1342"/>
      <c r="L732" s="1343"/>
      <c r="M732" s="1343"/>
      <c r="N732" s="1344"/>
      <c r="O732" s="1339"/>
      <c r="P732" s="1340"/>
      <c r="Q732" s="1340"/>
      <c r="R732" s="1340"/>
      <c r="S732" s="1341"/>
      <c r="T732" s="1339"/>
      <c r="U732" s="1340"/>
      <c r="V732" s="1340"/>
      <c r="W732" s="1341"/>
      <c r="X732" s="1352">
        <f t="shared" si="8"/>
        <v>0</v>
      </c>
      <c r="Y732" s="1353"/>
      <c r="Z732" s="1353"/>
      <c r="AA732" s="1353"/>
      <c r="AB732" s="1354"/>
      <c r="AC732" s="1359"/>
      <c r="AD732" s="1360"/>
      <c r="AE732" s="1360"/>
      <c r="AF732" s="1360"/>
      <c r="AG732" s="1361"/>
      <c r="AH732" s="1355" t="str">
        <f t="shared" si="35"/>
        <v/>
      </c>
      <c r="AI732" s="1356"/>
      <c r="AJ732" s="1357"/>
      <c r="AK732" s="1336" t="s">
        <v>591</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5">
        <f t="shared" si="36"/>
        <v>0</v>
      </c>
      <c r="CH732" s="1466"/>
      <c r="CI732" s="1471">
        <f t="shared" si="37"/>
        <v>0</v>
      </c>
      <c r="CJ732" s="1472"/>
      <c r="CK732" s="1465">
        <f t="shared" si="15"/>
        <v>0</v>
      </c>
      <c r="CL732" s="1466"/>
      <c r="CM732" s="1471">
        <f t="shared" si="16"/>
        <v>0</v>
      </c>
      <c r="CN732" s="1472"/>
      <c r="CO732" s="3"/>
      <c r="CP732" s="1460">
        <f t="shared" si="17"/>
        <v>0</v>
      </c>
      <c r="CQ732" s="1461"/>
      <c r="CR732" s="1461"/>
      <c r="CS732" s="1461"/>
      <c r="CT732" s="1462"/>
      <c r="CU732" s="1444">
        <f t="shared" si="18"/>
        <v>0</v>
      </c>
      <c r="CV732" s="1444"/>
      <c r="CW732" s="1444"/>
      <c r="CX732" s="1444"/>
      <c r="CY732" s="1444"/>
      <c r="CZ732" s="1444">
        <f t="shared" si="19"/>
        <v>0</v>
      </c>
      <c r="DA732" s="1444"/>
      <c r="DB732" s="1444"/>
      <c r="DC732" s="1444"/>
      <c r="DD732" s="1444"/>
      <c r="DE732" s="1444">
        <f t="shared" si="20"/>
        <v>0</v>
      </c>
      <c r="DF732" s="1444"/>
      <c r="DG732" s="1444"/>
      <c r="DH732" s="1444"/>
      <c r="DI732" s="1444"/>
      <c r="DJ732" s="1444">
        <f t="shared" si="21"/>
        <v>0</v>
      </c>
      <c r="DK732" s="1444"/>
      <c r="DL732" s="1444"/>
      <c r="DM732" s="1444"/>
      <c r="DN732" s="1444"/>
      <c r="DO732" s="1444">
        <f t="shared" si="22"/>
        <v>0</v>
      </c>
      <c r="DP732" s="1444"/>
      <c r="DQ732" s="1444"/>
      <c r="DR732" s="1444"/>
      <c r="DS732" s="1444"/>
      <c r="DT732" s="6"/>
      <c r="DU732" s="1445">
        <f t="shared" si="23"/>
        <v>0</v>
      </c>
      <c r="DV732" s="1445"/>
      <c r="DW732" s="1445"/>
      <c r="DX732" s="1445"/>
      <c r="DY732" s="1445"/>
      <c r="DZ732" s="1445">
        <f t="shared" si="24"/>
        <v>0</v>
      </c>
      <c r="EA732" s="1445"/>
      <c r="EB732" s="1445"/>
      <c r="EC732" s="1445"/>
      <c r="ED732" s="1445"/>
      <c r="EE732" s="1445">
        <f t="shared" si="25"/>
        <v>0</v>
      </c>
      <c r="EF732" s="1445"/>
      <c r="EG732" s="1445"/>
      <c r="EH732" s="1445"/>
      <c r="EI732" s="1445"/>
      <c r="EJ732" s="1445">
        <f t="shared" si="26"/>
        <v>0</v>
      </c>
      <c r="EK732" s="1445"/>
      <c r="EL732" s="1445"/>
      <c r="EM732" s="1445"/>
      <c r="EN732" s="1445"/>
      <c r="EO732" s="1445">
        <f t="shared" si="27"/>
        <v>0</v>
      </c>
      <c r="EP732" s="1445"/>
      <c r="EQ732" s="1445"/>
      <c r="ER732" s="1445"/>
      <c r="ES732" s="1445"/>
      <c r="ET732" s="1445">
        <f t="shared" si="28"/>
        <v>0</v>
      </c>
      <c r="EU732" s="1445"/>
      <c r="EV732" s="1445"/>
      <c r="EW732" s="1445"/>
      <c r="EX732" s="1445"/>
      <c r="EZ732" s="1465" t="str">
        <f t="shared" si="29"/>
        <v/>
      </c>
      <c r="FA732" s="1467"/>
      <c r="FB732" s="1467"/>
      <c r="FC732" s="1467"/>
      <c r="FD732" s="1466"/>
      <c r="FE732" s="1465" t="str">
        <f t="shared" si="30"/>
        <v/>
      </c>
      <c r="FF732" s="1467"/>
      <c r="FG732" s="1467"/>
      <c r="FH732" s="1467"/>
      <c r="FI732" s="1466"/>
      <c r="FJ732" s="1465" t="str">
        <f t="shared" si="31"/>
        <v/>
      </c>
      <c r="FK732" s="1467"/>
      <c r="FL732" s="1467"/>
      <c r="FM732" s="1467"/>
      <c r="FN732" s="1466"/>
      <c r="FO732" s="1465" t="str">
        <f t="shared" si="32"/>
        <v/>
      </c>
      <c r="FP732" s="1467"/>
      <c r="FQ732" s="1467"/>
      <c r="FR732" s="1467"/>
      <c r="FS732" s="1466"/>
      <c r="FT732" s="1465" t="str">
        <f t="shared" si="33"/>
        <v/>
      </c>
      <c r="FU732" s="1467"/>
      <c r="FV732" s="1467"/>
      <c r="FW732" s="1467"/>
      <c r="FX732" s="1466"/>
      <c r="FY732" s="1465" t="str">
        <f t="shared" si="34"/>
        <v/>
      </c>
      <c r="FZ732" s="1467"/>
      <c r="GA732" s="1467"/>
      <c r="GB732" s="1467"/>
      <c r="GC732" s="1466"/>
    </row>
    <row r="733" spans="1:185" ht="13" customHeight="1">
      <c r="B733" s="1336"/>
      <c r="C733" s="1337"/>
      <c r="D733" s="1337"/>
      <c r="E733" s="1337"/>
      <c r="F733" s="1338"/>
      <c r="G733" s="1349"/>
      <c r="H733" s="1350"/>
      <c r="I733" s="1350"/>
      <c r="J733" s="1351"/>
      <c r="K733" s="1342"/>
      <c r="L733" s="1343"/>
      <c r="M733" s="1343"/>
      <c r="N733" s="1344"/>
      <c r="O733" s="1339"/>
      <c r="P733" s="1340"/>
      <c r="Q733" s="1340"/>
      <c r="R733" s="1340"/>
      <c r="S733" s="1341"/>
      <c r="T733" s="1339"/>
      <c r="U733" s="1340"/>
      <c r="V733" s="1340"/>
      <c r="W733" s="1341"/>
      <c r="X733" s="1352">
        <f t="shared" si="8"/>
        <v>0</v>
      </c>
      <c r="Y733" s="1353"/>
      <c r="Z733" s="1353"/>
      <c r="AA733" s="1353"/>
      <c r="AB733" s="1354"/>
      <c r="AC733" s="1359"/>
      <c r="AD733" s="1360"/>
      <c r="AE733" s="1360"/>
      <c r="AF733" s="1360"/>
      <c r="AG733" s="1361"/>
      <c r="AH733" s="1355" t="str">
        <f t="shared" si="35"/>
        <v/>
      </c>
      <c r="AI733" s="1356"/>
      <c r="AJ733" s="1357"/>
      <c r="AK733" s="1336" t="s">
        <v>591</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5">
        <f t="shared" si="36"/>
        <v>0</v>
      </c>
      <c r="CH733" s="1466"/>
      <c r="CI733" s="1471">
        <f t="shared" si="37"/>
        <v>0</v>
      </c>
      <c r="CJ733" s="1472"/>
      <c r="CK733" s="1465">
        <f t="shared" si="15"/>
        <v>0</v>
      </c>
      <c r="CL733" s="1466"/>
      <c r="CM733" s="1471">
        <f t="shared" si="16"/>
        <v>0</v>
      </c>
      <c r="CN733" s="1472"/>
      <c r="CO733" s="3"/>
      <c r="CP733" s="1460">
        <f t="shared" si="17"/>
        <v>0</v>
      </c>
      <c r="CQ733" s="1461"/>
      <c r="CR733" s="1461"/>
      <c r="CS733" s="1461"/>
      <c r="CT733" s="1462"/>
      <c r="CU733" s="1444">
        <f t="shared" si="18"/>
        <v>0</v>
      </c>
      <c r="CV733" s="1444"/>
      <c r="CW733" s="1444"/>
      <c r="CX733" s="1444"/>
      <c r="CY733" s="1444"/>
      <c r="CZ733" s="1444">
        <f t="shared" si="19"/>
        <v>0</v>
      </c>
      <c r="DA733" s="1444"/>
      <c r="DB733" s="1444"/>
      <c r="DC733" s="1444"/>
      <c r="DD733" s="1444"/>
      <c r="DE733" s="1444">
        <f t="shared" si="20"/>
        <v>0</v>
      </c>
      <c r="DF733" s="1444"/>
      <c r="DG733" s="1444"/>
      <c r="DH733" s="1444"/>
      <c r="DI733" s="1444"/>
      <c r="DJ733" s="1444">
        <f t="shared" si="21"/>
        <v>0</v>
      </c>
      <c r="DK733" s="1444"/>
      <c r="DL733" s="1444"/>
      <c r="DM733" s="1444"/>
      <c r="DN733" s="1444"/>
      <c r="DO733" s="1444">
        <f t="shared" si="22"/>
        <v>0</v>
      </c>
      <c r="DP733" s="1444"/>
      <c r="DQ733" s="1444"/>
      <c r="DR733" s="1444"/>
      <c r="DS733" s="1444"/>
      <c r="DT733" s="6"/>
      <c r="DU733" s="1445">
        <f t="shared" si="23"/>
        <v>0</v>
      </c>
      <c r="DV733" s="1445"/>
      <c r="DW733" s="1445"/>
      <c r="DX733" s="1445"/>
      <c r="DY733" s="1445"/>
      <c r="DZ733" s="1445">
        <f t="shared" si="24"/>
        <v>0</v>
      </c>
      <c r="EA733" s="1445"/>
      <c r="EB733" s="1445"/>
      <c r="EC733" s="1445"/>
      <c r="ED733" s="1445"/>
      <c r="EE733" s="1445">
        <f t="shared" si="25"/>
        <v>0</v>
      </c>
      <c r="EF733" s="1445"/>
      <c r="EG733" s="1445"/>
      <c r="EH733" s="1445"/>
      <c r="EI733" s="1445"/>
      <c r="EJ733" s="1445">
        <f t="shared" si="26"/>
        <v>0</v>
      </c>
      <c r="EK733" s="1445"/>
      <c r="EL733" s="1445"/>
      <c r="EM733" s="1445"/>
      <c r="EN733" s="1445"/>
      <c r="EO733" s="1445">
        <f t="shared" si="27"/>
        <v>0</v>
      </c>
      <c r="EP733" s="1445"/>
      <c r="EQ733" s="1445"/>
      <c r="ER733" s="1445"/>
      <c r="ES733" s="1445"/>
      <c r="ET733" s="1445">
        <f t="shared" si="28"/>
        <v>0</v>
      </c>
      <c r="EU733" s="1445"/>
      <c r="EV733" s="1445"/>
      <c r="EW733" s="1445"/>
      <c r="EX733" s="1445"/>
      <c r="EZ733" s="1465" t="str">
        <f t="shared" si="29"/>
        <v/>
      </c>
      <c r="FA733" s="1467"/>
      <c r="FB733" s="1467"/>
      <c r="FC733" s="1467"/>
      <c r="FD733" s="1466"/>
      <c r="FE733" s="1465" t="str">
        <f t="shared" si="30"/>
        <v/>
      </c>
      <c r="FF733" s="1467"/>
      <c r="FG733" s="1467"/>
      <c r="FH733" s="1467"/>
      <c r="FI733" s="1466"/>
      <c r="FJ733" s="1465" t="str">
        <f t="shared" si="31"/>
        <v/>
      </c>
      <c r="FK733" s="1467"/>
      <c r="FL733" s="1467"/>
      <c r="FM733" s="1467"/>
      <c r="FN733" s="1466"/>
      <c r="FO733" s="1465" t="str">
        <f t="shared" si="32"/>
        <v/>
      </c>
      <c r="FP733" s="1467"/>
      <c r="FQ733" s="1467"/>
      <c r="FR733" s="1467"/>
      <c r="FS733" s="1466"/>
      <c r="FT733" s="1465" t="str">
        <f t="shared" si="33"/>
        <v/>
      </c>
      <c r="FU733" s="1467"/>
      <c r="FV733" s="1467"/>
      <c r="FW733" s="1467"/>
      <c r="FX733" s="1466"/>
      <c r="FY733" s="1465" t="str">
        <f t="shared" si="34"/>
        <v/>
      </c>
      <c r="FZ733" s="1467"/>
      <c r="GA733" s="1467"/>
      <c r="GB733" s="1467"/>
      <c r="GC733" s="1466"/>
    </row>
    <row r="734" spans="1:185" ht="13" customHeight="1">
      <c r="B734" s="1336"/>
      <c r="C734" s="1337"/>
      <c r="D734" s="1337"/>
      <c r="E734" s="1337"/>
      <c r="F734" s="1338"/>
      <c r="G734" s="1349"/>
      <c r="H734" s="1350"/>
      <c r="I734" s="1350"/>
      <c r="J734" s="1351"/>
      <c r="K734" s="1342"/>
      <c r="L734" s="1343"/>
      <c r="M734" s="1343"/>
      <c r="N734" s="1344"/>
      <c r="O734" s="1339"/>
      <c r="P734" s="1340"/>
      <c r="Q734" s="1340"/>
      <c r="R734" s="1340"/>
      <c r="S734" s="1341"/>
      <c r="T734" s="1339"/>
      <c r="U734" s="1340"/>
      <c r="V734" s="1340"/>
      <c r="W734" s="1341"/>
      <c r="X734" s="1352">
        <f t="shared" si="8"/>
        <v>0</v>
      </c>
      <c r="Y734" s="1353"/>
      <c r="Z734" s="1353"/>
      <c r="AA734" s="1353"/>
      <c r="AB734" s="1354"/>
      <c r="AC734" s="1359"/>
      <c r="AD734" s="1360"/>
      <c r="AE734" s="1360"/>
      <c r="AF734" s="1360"/>
      <c r="AG734" s="1361"/>
      <c r="AH734" s="1355" t="str">
        <f t="shared" si="35"/>
        <v/>
      </c>
      <c r="AI734" s="1356"/>
      <c r="AJ734" s="1357"/>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5">
        <f t="shared" si="36"/>
        <v>0</v>
      </c>
      <c r="CH734" s="1466"/>
      <c r="CI734" s="1471">
        <f t="shared" si="37"/>
        <v>0</v>
      </c>
      <c r="CJ734" s="1472"/>
      <c r="CK734" s="1465">
        <f t="shared" si="15"/>
        <v>0</v>
      </c>
      <c r="CL734" s="1466"/>
      <c r="CM734" s="1471">
        <f t="shared" si="16"/>
        <v>0</v>
      </c>
      <c r="CN734" s="1472"/>
      <c r="CO734" s="3"/>
      <c r="CP734" s="1460">
        <f t="shared" si="17"/>
        <v>0</v>
      </c>
      <c r="CQ734" s="1461"/>
      <c r="CR734" s="1461"/>
      <c r="CS734" s="1461"/>
      <c r="CT734" s="1462"/>
      <c r="CU734" s="1444">
        <f t="shared" si="18"/>
        <v>0</v>
      </c>
      <c r="CV734" s="1444"/>
      <c r="CW734" s="1444"/>
      <c r="CX734" s="1444"/>
      <c r="CY734" s="1444"/>
      <c r="CZ734" s="1444">
        <f t="shared" si="19"/>
        <v>0</v>
      </c>
      <c r="DA734" s="1444"/>
      <c r="DB734" s="1444"/>
      <c r="DC734" s="1444"/>
      <c r="DD734" s="1444"/>
      <c r="DE734" s="1444">
        <f t="shared" si="20"/>
        <v>0</v>
      </c>
      <c r="DF734" s="1444"/>
      <c r="DG734" s="1444"/>
      <c r="DH734" s="1444"/>
      <c r="DI734" s="1444"/>
      <c r="DJ734" s="1444">
        <f t="shared" si="21"/>
        <v>0</v>
      </c>
      <c r="DK734" s="1444"/>
      <c r="DL734" s="1444"/>
      <c r="DM734" s="1444"/>
      <c r="DN734" s="1444"/>
      <c r="DO734" s="1444">
        <f t="shared" si="22"/>
        <v>0</v>
      </c>
      <c r="DP734" s="1444"/>
      <c r="DQ734" s="1444"/>
      <c r="DR734" s="1444"/>
      <c r="DS734" s="1444"/>
      <c r="DT734" s="6"/>
      <c r="DU734" s="1445">
        <f t="shared" si="23"/>
        <v>0</v>
      </c>
      <c r="DV734" s="1445"/>
      <c r="DW734" s="1445"/>
      <c r="DX734" s="1445"/>
      <c r="DY734" s="1445"/>
      <c r="DZ734" s="1445">
        <f t="shared" si="24"/>
        <v>0</v>
      </c>
      <c r="EA734" s="1445"/>
      <c r="EB734" s="1445"/>
      <c r="EC734" s="1445"/>
      <c r="ED734" s="1445"/>
      <c r="EE734" s="1445">
        <f t="shared" si="25"/>
        <v>0</v>
      </c>
      <c r="EF734" s="1445"/>
      <c r="EG734" s="1445"/>
      <c r="EH734" s="1445"/>
      <c r="EI734" s="1445"/>
      <c r="EJ734" s="1445">
        <f t="shared" si="26"/>
        <v>0</v>
      </c>
      <c r="EK734" s="1445"/>
      <c r="EL734" s="1445"/>
      <c r="EM734" s="1445"/>
      <c r="EN734" s="1445"/>
      <c r="EO734" s="1445">
        <f t="shared" si="27"/>
        <v>0</v>
      </c>
      <c r="EP734" s="1445"/>
      <c r="EQ734" s="1445"/>
      <c r="ER734" s="1445"/>
      <c r="ES734" s="1445"/>
      <c r="ET734" s="1445">
        <f t="shared" si="28"/>
        <v>0</v>
      </c>
      <c r="EU734" s="1445"/>
      <c r="EV734" s="1445"/>
      <c r="EW734" s="1445"/>
      <c r="EX734" s="1445"/>
      <c r="EZ734" s="1465" t="str">
        <f t="shared" si="29"/>
        <v/>
      </c>
      <c r="FA734" s="1467"/>
      <c r="FB734" s="1467"/>
      <c r="FC734" s="1467"/>
      <c r="FD734" s="1466"/>
      <c r="FE734" s="1465" t="str">
        <f t="shared" si="30"/>
        <v/>
      </c>
      <c r="FF734" s="1467"/>
      <c r="FG734" s="1467"/>
      <c r="FH734" s="1467"/>
      <c r="FI734" s="1466"/>
      <c r="FJ734" s="1465" t="str">
        <f t="shared" si="31"/>
        <v/>
      </c>
      <c r="FK734" s="1467"/>
      <c r="FL734" s="1467"/>
      <c r="FM734" s="1467"/>
      <c r="FN734" s="1466"/>
      <c r="FO734" s="1465" t="str">
        <f t="shared" si="32"/>
        <v/>
      </c>
      <c r="FP734" s="1467"/>
      <c r="FQ734" s="1467"/>
      <c r="FR734" s="1467"/>
      <c r="FS734" s="1466"/>
      <c r="FT734" s="1465" t="str">
        <f t="shared" si="33"/>
        <v/>
      </c>
      <c r="FU734" s="1467"/>
      <c r="FV734" s="1467"/>
      <c r="FW734" s="1467"/>
      <c r="FX734" s="1466"/>
      <c r="FY734" s="1465" t="str">
        <f t="shared" si="34"/>
        <v/>
      </c>
      <c r="FZ734" s="1467"/>
      <c r="GA734" s="1467"/>
      <c r="GB734" s="1467"/>
      <c r="GC734" s="1466"/>
    </row>
    <row r="735" spans="1:185" ht="13" customHeight="1">
      <c r="B735" s="1336"/>
      <c r="C735" s="1337"/>
      <c r="D735" s="1337"/>
      <c r="E735" s="1337"/>
      <c r="F735" s="1338"/>
      <c r="G735" s="1349"/>
      <c r="H735" s="1350"/>
      <c r="I735" s="1350"/>
      <c r="J735" s="1351"/>
      <c r="K735" s="1342"/>
      <c r="L735" s="1343"/>
      <c r="M735" s="1343"/>
      <c r="N735" s="1344"/>
      <c r="O735" s="1339"/>
      <c r="P735" s="1340"/>
      <c r="Q735" s="1340"/>
      <c r="R735" s="1340"/>
      <c r="S735" s="1341"/>
      <c r="T735" s="1339"/>
      <c r="U735" s="1340"/>
      <c r="V735" s="1340"/>
      <c r="W735" s="1341"/>
      <c r="X735" s="1352">
        <f t="shared" si="8"/>
        <v>0</v>
      </c>
      <c r="Y735" s="1353"/>
      <c r="Z735" s="1353"/>
      <c r="AA735" s="1353"/>
      <c r="AB735" s="1354"/>
      <c r="AC735" s="1359"/>
      <c r="AD735" s="1360"/>
      <c r="AE735" s="1360"/>
      <c r="AF735" s="1360"/>
      <c r="AG735" s="1361"/>
      <c r="AH735" s="1355" t="str">
        <f t="shared" si="35"/>
        <v/>
      </c>
      <c r="AI735" s="1356"/>
      <c r="AJ735" s="1357"/>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5">
        <f t="shared" si="36"/>
        <v>0</v>
      </c>
      <c r="CH735" s="1466"/>
      <c r="CI735" s="1471">
        <f t="shared" si="37"/>
        <v>0</v>
      </c>
      <c r="CJ735" s="1472"/>
      <c r="CK735" s="1465">
        <f t="shared" si="15"/>
        <v>0</v>
      </c>
      <c r="CL735" s="1466"/>
      <c r="CM735" s="1471">
        <f t="shared" si="16"/>
        <v>0</v>
      </c>
      <c r="CN735" s="1472"/>
      <c r="CO735" s="3"/>
      <c r="CP735" s="1460">
        <f t="shared" si="17"/>
        <v>0</v>
      </c>
      <c r="CQ735" s="1461"/>
      <c r="CR735" s="1461"/>
      <c r="CS735" s="1461"/>
      <c r="CT735" s="1462"/>
      <c r="CU735" s="1444">
        <f t="shared" si="18"/>
        <v>0</v>
      </c>
      <c r="CV735" s="1444"/>
      <c r="CW735" s="1444"/>
      <c r="CX735" s="1444"/>
      <c r="CY735" s="1444"/>
      <c r="CZ735" s="1444">
        <f t="shared" si="19"/>
        <v>0</v>
      </c>
      <c r="DA735" s="1444"/>
      <c r="DB735" s="1444"/>
      <c r="DC735" s="1444"/>
      <c r="DD735" s="1444"/>
      <c r="DE735" s="1444">
        <f t="shared" si="20"/>
        <v>0</v>
      </c>
      <c r="DF735" s="1444"/>
      <c r="DG735" s="1444"/>
      <c r="DH735" s="1444"/>
      <c r="DI735" s="1444"/>
      <c r="DJ735" s="1444">
        <f t="shared" si="21"/>
        <v>0</v>
      </c>
      <c r="DK735" s="1444"/>
      <c r="DL735" s="1444"/>
      <c r="DM735" s="1444"/>
      <c r="DN735" s="1444"/>
      <c r="DO735" s="1444">
        <f t="shared" si="22"/>
        <v>0</v>
      </c>
      <c r="DP735" s="1444"/>
      <c r="DQ735" s="1444"/>
      <c r="DR735" s="1444"/>
      <c r="DS735" s="1444"/>
      <c r="DT735" s="6"/>
      <c r="DU735" s="1445">
        <f t="shared" si="23"/>
        <v>0</v>
      </c>
      <c r="DV735" s="1445"/>
      <c r="DW735" s="1445"/>
      <c r="DX735" s="1445"/>
      <c r="DY735" s="1445"/>
      <c r="DZ735" s="1445">
        <f t="shared" si="24"/>
        <v>0</v>
      </c>
      <c r="EA735" s="1445"/>
      <c r="EB735" s="1445"/>
      <c r="EC735" s="1445"/>
      <c r="ED735" s="1445"/>
      <c r="EE735" s="1445">
        <f t="shared" si="25"/>
        <v>0</v>
      </c>
      <c r="EF735" s="1445"/>
      <c r="EG735" s="1445"/>
      <c r="EH735" s="1445"/>
      <c r="EI735" s="1445"/>
      <c r="EJ735" s="1445">
        <f t="shared" si="26"/>
        <v>0</v>
      </c>
      <c r="EK735" s="1445"/>
      <c r="EL735" s="1445"/>
      <c r="EM735" s="1445"/>
      <c r="EN735" s="1445"/>
      <c r="EO735" s="1445">
        <f t="shared" si="27"/>
        <v>0</v>
      </c>
      <c r="EP735" s="1445"/>
      <c r="EQ735" s="1445"/>
      <c r="ER735" s="1445"/>
      <c r="ES735" s="1445"/>
      <c r="ET735" s="1445">
        <f t="shared" si="28"/>
        <v>0</v>
      </c>
      <c r="EU735" s="1445"/>
      <c r="EV735" s="1445"/>
      <c r="EW735" s="1445"/>
      <c r="EX735" s="1445"/>
      <c r="EZ735" s="1465" t="str">
        <f t="shared" si="29"/>
        <v/>
      </c>
      <c r="FA735" s="1467"/>
      <c r="FB735" s="1467"/>
      <c r="FC735" s="1467"/>
      <c r="FD735" s="1466"/>
      <c r="FE735" s="1465" t="str">
        <f t="shared" si="30"/>
        <v/>
      </c>
      <c r="FF735" s="1467"/>
      <c r="FG735" s="1467"/>
      <c r="FH735" s="1467"/>
      <c r="FI735" s="1466"/>
      <c r="FJ735" s="1465" t="str">
        <f t="shared" si="31"/>
        <v/>
      </c>
      <c r="FK735" s="1467"/>
      <c r="FL735" s="1467"/>
      <c r="FM735" s="1467"/>
      <c r="FN735" s="1466"/>
      <c r="FO735" s="1465" t="str">
        <f t="shared" si="32"/>
        <v/>
      </c>
      <c r="FP735" s="1467"/>
      <c r="FQ735" s="1467"/>
      <c r="FR735" s="1467"/>
      <c r="FS735" s="1466"/>
      <c r="FT735" s="1465" t="str">
        <f t="shared" si="33"/>
        <v/>
      </c>
      <c r="FU735" s="1467"/>
      <c r="FV735" s="1467"/>
      <c r="FW735" s="1467"/>
      <c r="FX735" s="1466"/>
      <c r="FY735" s="1465" t="str">
        <f t="shared" si="34"/>
        <v/>
      </c>
      <c r="FZ735" s="1467"/>
      <c r="GA735" s="1467"/>
      <c r="GB735" s="1467"/>
      <c r="GC735" s="1466"/>
    </row>
    <row r="736" spans="1:185" ht="13" customHeight="1">
      <c r="B736" s="1336"/>
      <c r="C736" s="1337"/>
      <c r="D736" s="1337"/>
      <c r="E736" s="1337"/>
      <c r="F736" s="1338"/>
      <c r="G736" s="1349"/>
      <c r="H736" s="1350"/>
      <c r="I736" s="1350"/>
      <c r="J736" s="1351"/>
      <c r="K736" s="1342"/>
      <c r="L736" s="1343"/>
      <c r="M736" s="1343"/>
      <c r="N736" s="1344"/>
      <c r="O736" s="1339"/>
      <c r="P736" s="1340"/>
      <c r="Q736" s="1340"/>
      <c r="R736" s="1340"/>
      <c r="S736" s="1341"/>
      <c r="T736" s="1339"/>
      <c r="U736" s="1340"/>
      <c r="V736" s="1340"/>
      <c r="W736" s="1341"/>
      <c r="X736" s="1352">
        <f t="shared" si="8"/>
        <v>0</v>
      </c>
      <c r="Y736" s="1353"/>
      <c r="Z736" s="1353"/>
      <c r="AA736" s="1353"/>
      <c r="AB736" s="1354"/>
      <c r="AC736" s="1359"/>
      <c r="AD736" s="1360"/>
      <c r="AE736" s="1360"/>
      <c r="AF736" s="1360"/>
      <c r="AG736" s="1361"/>
      <c r="AH736" s="1355" t="str">
        <f t="shared" si="35"/>
        <v/>
      </c>
      <c r="AI736" s="1356"/>
      <c r="AJ736" s="1357"/>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5">
        <f t="shared" si="36"/>
        <v>0</v>
      </c>
      <c r="CH736" s="1466"/>
      <c r="CI736" s="1471">
        <f t="shared" si="37"/>
        <v>0</v>
      </c>
      <c r="CJ736" s="1472"/>
      <c r="CK736" s="1465">
        <f t="shared" si="15"/>
        <v>0</v>
      </c>
      <c r="CL736" s="1466"/>
      <c r="CM736" s="1471">
        <f t="shared" si="16"/>
        <v>0</v>
      </c>
      <c r="CN736" s="1472"/>
      <c r="CO736" s="3"/>
      <c r="CP736" s="1460">
        <f t="shared" si="17"/>
        <v>0</v>
      </c>
      <c r="CQ736" s="1461"/>
      <c r="CR736" s="1461"/>
      <c r="CS736" s="1461"/>
      <c r="CT736" s="1462"/>
      <c r="CU736" s="1444">
        <f t="shared" si="18"/>
        <v>0</v>
      </c>
      <c r="CV736" s="1444"/>
      <c r="CW736" s="1444"/>
      <c r="CX736" s="1444"/>
      <c r="CY736" s="1444"/>
      <c r="CZ736" s="1444">
        <f t="shared" si="19"/>
        <v>0</v>
      </c>
      <c r="DA736" s="1444"/>
      <c r="DB736" s="1444"/>
      <c r="DC736" s="1444"/>
      <c r="DD736" s="1444"/>
      <c r="DE736" s="1444">
        <f t="shared" si="20"/>
        <v>0</v>
      </c>
      <c r="DF736" s="1444"/>
      <c r="DG736" s="1444"/>
      <c r="DH736" s="1444"/>
      <c r="DI736" s="1444"/>
      <c r="DJ736" s="1444">
        <f t="shared" si="21"/>
        <v>0</v>
      </c>
      <c r="DK736" s="1444"/>
      <c r="DL736" s="1444"/>
      <c r="DM736" s="1444"/>
      <c r="DN736" s="1444"/>
      <c r="DO736" s="1444">
        <f t="shared" si="22"/>
        <v>0</v>
      </c>
      <c r="DP736" s="1444"/>
      <c r="DQ736" s="1444"/>
      <c r="DR736" s="1444"/>
      <c r="DS736" s="1444"/>
      <c r="DT736" s="6"/>
      <c r="DU736" s="1445">
        <f t="shared" si="23"/>
        <v>0</v>
      </c>
      <c r="DV736" s="1445"/>
      <c r="DW736" s="1445"/>
      <c r="DX736" s="1445"/>
      <c r="DY736" s="1445"/>
      <c r="DZ736" s="1445">
        <f t="shared" si="24"/>
        <v>0</v>
      </c>
      <c r="EA736" s="1445"/>
      <c r="EB736" s="1445"/>
      <c r="EC736" s="1445"/>
      <c r="ED736" s="1445"/>
      <c r="EE736" s="1445">
        <f t="shared" si="25"/>
        <v>0</v>
      </c>
      <c r="EF736" s="1445"/>
      <c r="EG736" s="1445"/>
      <c r="EH736" s="1445"/>
      <c r="EI736" s="1445"/>
      <c r="EJ736" s="1445">
        <f t="shared" si="26"/>
        <v>0</v>
      </c>
      <c r="EK736" s="1445"/>
      <c r="EL736" s="1445"/>
      <c r="EM736" s="1445"/>
      <c r="EN736" s="1445"/>
      <c r="EO736" s="1445">
        <f t="shared" si="27"/>
        <v>0</v>
      </c>
      <c r="EP736" s="1445"/>
      <c r="EQ736" s="1445"/>
      <c r="ER736" s="1445"/>
      <c r="ES736" s="1445"/>
      <c r="ET736" s="1445">
        <f t="shared" si="28"/>
        <v>0</v>
      </c>
      <c r="EU736" s="1445"/>
      <c r="EV736" s="1445"/>
      <c r="EW736" s="1445"/>
      <c r="EX736" s="1445"/>
      <c r="EZ736" s="1465" t="str">
        <f t="shared" si="29"/>
        <v/>
      </c>
      <c r="FA736" s="1467"/>
      <c r="FB736" s="1467"/>
      <c r="FC736" s="1467"/>
      <c r="FD736" s="1466"/>
      <c r="FE736" s="1465" t="str">
        <f t="shared" si="30"/>
        <v/>
      </c>
      <c r="FF736" s="1467"/>
      <c r="FG736" s="1467"/>
      <c r="FH736" s="1467"/>
      <c r="FI736" s="1466"/>
      <c r="FJ736" s="1465" t="str">
        <f t="shared" si="31"/>
        <v/>
      </c>
      <c r="FK736" s="1467"/>
      <c r="FL736" s="1467"/>
      <c r="FM736" s="1467"/>
      <c r="FN736" s="1466"/>
      <c r="FO736" s="1465" t="str">
        <f t="shared" si="32"/>
        <v/>
      </c>
      <c r="FP736" s="1467"/>
      <c r="FQ736" s="1467"/>
      <c r="FR736" s="1467"/>
      <c r="FS736" s="1466"/>
      <c r="FT736" s="1465" t="str">
        <f t="shared" si="33"/>
        <v/>
      </c>
      <c r="FU736" s="1467"/>
      <c r="FV736" s="1467"/>
      <c r="FW736" s="1467"/>
      <c r="FX736" s="1466"/>
      <c r="FY736" s="1465" t="str">
        <f t="shared" si="34"/>
        <v/>
      </c>
      <c r="FZ736" s="1467"/>
      <c r="GA736" s="1467"/>
      <c r="GB736" s="1467"/>
      <c r="GC736" s="1466"/>
    </row>
    <row r="737" spans="1:185" ht="13" customHeight="1">
      <c r="B737" s="1336"/>
      <c r="C737" s="1337"/>
      <c r="D737" s="1337"/>
      <c r="E737" s="1337"/>
      <c r="F737" s="1338"/>
      <c r="G737" s="1349"/>
      <c r="H737" s="1350"/>
      <c r="I737" s="1350"/>
      <c r="J737" s="1351"/>
      <c r="K737" s="1342"/>
      <c r="L737" s="1343"/>
      <c r="M737" s="1343"/>
      <c r="N737" s="1344"/>
      <c r="O737" s="1339"/>
      <c r="P737" s="1340"/>
      <c r="Q737" s="1340"/>
      <c r="R737" s="1340"/>
      <c r="S737" s="1341"/>
      <c r="T737" s="1339"/>
      <c r="U737" s="1340"/>
      <c r="V737" s="1340"/>
      <c r="W737" s="1341"/>
      <c r="X737" s="1352">
        <f t="shared" si="8"/>
        <v>0</v>
      </c>
      <c r="Y737" s="1353"/>
      <c r="Z737" s="1353"/>
      <c r="AA737" s="1353"/>
      <c r="AB737" s="1354"/>
      <c r="AC737" s="1359"/>
      <c r="AD737" s="1360"/>
      <c r="AE737" s="1360"/>
      <c r="AF737" s="1360"/>
      <c r="AG737" s="1361"/>
      <c r="AH737" s="1355" t="str">
        <f t="shared" si="35"/>
        <v/>
      </c>
      <c r="AI737" s="1356"/>
      <c r="AJ737" s="1357"/>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5">
        <f t="shared" si="36"/>
        <v>0</v>
      </c>
      <c r="CH737" s="1466"/>
      <c r="CI737" s="1471">
        <f t="shared" si="37"/>
        <v>0</v>
      </c>
      <c r="CJ737" s="1472"/>
      <c r="CK737" s="1465">
        <f t="shared" si="15"/>
        <v>0</v>
      </c>
      <c r="CL737" s="1466"/>
      <c r="CM737" s="1471">
        <f t="shared" si="16"/>
        <v>0</v>
      </c>
      <c r="CN737" s="1472"/>
      <c r="CO737" s="3"/>
      <c r="CP737" s="1460">
        <f t="shared" si="17"/>
        <v>0</v>
      </c>
      <c r="CQ737" s="1461"/>
      <c r="CR737" s="1461"/>
      <c r="CS737" s="1461"/>
      <c r="CT737" s="1462"/>
      <c r="CU737" s="1444">
        <f t="shared" si="18"/>
        <v>0</v>
      </c>
      <c r="CV737" s="1444"/>
      <c r="CW737" s="1444"/>
      <c r="CX737" s="1444"/>
      <c r="CY737" s="1444"/>
      <c r="CZ737" s="1444">
        <f t="shared" si="19"/>
        <v>0</v>
      </c>
      <c r="DA737" s="1444"/>
      <c r="DB737" s="1444"/>
      <c r="DC737" s="1444"/>
      <c r="DD737" s="1444"/>
      <c r="DE737" s="1444">
        <f t="shared" si="20"/>
        <v>0</v>
      </c>
      <c r="DF737" s="1444"/>
      <c r="DG737" s="1444"/>
      <c r="DH737" s="1444"/>
      <c r="DI737" s="1444"/>
      <c r="DJ737" s="1444">
        <f t="shared" si="21"/>
        <v>0</v>
      </c>
      <c r="DK737" s="1444"/>
      <c r="DL737" s="1444"/>
      <c r="DM737" s="1444"/>
      <c r="DN737" s="1444"/>
      <c r="DO737" s="1444">
        <f t="shared" si="22"/>
        <v>0</v>
      </c>
      <c r="DP737" s="1444"/>
      <c r="DQ737" s="1444"/>
      <c r="DR737" s="1444"/>
      <c r="DS737" s="1444"/>
      <c r="DT737" s="6"/>
      <c r="DU737" s="1445">
        <f t="shared" si="23"/>
        <v>0</v>
      </c>
      <c r="DV737" s="1445"/>
      <c r="DW737" s="1445"/>
      <c r="DX737" s="1445"/>
      <c r="DY737" s="1445"/>
      <c r="DZ737" s="1445">
        <f t="shared" si="24"/>
        <v>0</v>
      </c>
      <c r="EA737" s="1445"/>
      <c r="EB737" s="1445"/>
      <c r="EC737" s="1445"/>
      <c r="ED737" s="1445"/>
      <c r="EE737" s="1445">
        <f t="shared" si="25"/>
        <v>0</v>
      </c>
      <c r="EF737" s="1445"/>
      <c r="EG737" s="1445"/>
      <c r="EH737" s="1445"/>
      <c r="EI737" s="1445"/>
      <c r="EJ737" s="1445">
        <f t="shared" si="26"/>
        <v>0</v>
      </c>
      <c r="EK737" s="1445"/>
      <c r="EL737" s="1445"/>
      <c r="EM737" s="1445"/>
      <c r="EN737" s="1445"/>
      <c r="EO737" s="1445">
        <f t="shared" si="27"/>
        <v>0</v>
      </c>
      <c r="EP737" s="1445"/>
      <c r="EQ737" s="1445"/>
      <c r="ER737" s="1445"/>
      <c r="ES737" s="1445"/>
      <c r="ET737" s="1445">
        <f t="shared" si="28"/>
        <v>0</v>
      </c>
      <c r="EU737" s="1445"/>
      <c r="EV737" s="1445"/>
      <c r="EW737" s="1445"/>
      <c r="EX737" s="1445"/>
      <c r="EZ737" s="1465" t="str">
        <f t="shared" si="29"/>
        <v/>
      </c>
      <c r="FA737" s="1467"/>
      <c r="FB737" s="1467"/>
      <c r="FC737" s="1467"/>
      <c r="FD737" s="1466"/>
      <c r="FE737" s="1465" t="str">
        <f t="shared" si="30"/>
        <v/>
      </c>
      <c r="FF737" s="1467"/>
      <c r="FG737" s="1467"/>
      <c r="FH737" s="1467"/>
      <c r="FI737" s="1466"/>
      <c r="FJ737" s="1465" t="str">
        <f t="shared" si="31"/>
        <v/>
      </c>
      <c r="FK737" s="1467"/>
      <c r="FL737" s="1467"/>
      <c r="FM737" s="1467"/>
      <c r="FN737" s="1466"/>
      <c r="FO737" s="1465" t="str">
        <f t="shared" si="32"/>
        <v/>
      </c>
      <c r="FP737" s="1467"/>
      <c r="FQ737" s="1467"/>
      <c r="FR737" s="1467"/>
      <c r="FS737" s="1466"/>
      <c r="FT737" s="1465" t="str">
        <f t="shared" si="33"/>
        <v/>
      </c>
      <c r="FU737" s="1467"/>
      <c r="FV737" s="1467"/>
      <c r="FW737" s="1467"/>
      <c r="FX737" s="1466"/>
      <c r="FY737" s="1465" t="str">
        <f t="shared" si="34"/>
        <v/>
      </c>
      <c r="FZ737" s="1467"/>
      <c r="GA737" s="1467"/>
      <c r="GB737" s="1467"/>
      <c r="GC737" s="1466"/>
    </row>
    <row r="738" spans="1:185" ht="13" customHeight="1">
      <c r="B738" s="1336"/>
      <c r="C738" s="1337"/>
      <c r="D738" s="1337"/>
      <c r="E738" s="1337"/>
      <c r="F738" s="1338"/>
      <c r="G738" s="1349"/>
      <c r="H738" s="1350"/>
      <c r="I738" s="1350"/>
      <c r="J738" s="1351"/>
      <c r="K738" s="1342"/>
      <c r="L738" s="1343"/>
      <c r="M738" s="1343"/>
      <c r="N738" s="1344"/>
      <c r="O738" s="1339"/>
      <c r="P738" s="1340"/>
      <c r="Q738" s="1340"/>
      <c r="R738" s="1340"/>
      <c r="S738" s="1341"/>
      <c r="T738" s="1339"/>
      <c r="U738" s="1340"/>
      <c r="V738" s="1340"/>
      <c r="W738" s="1341"/>
      <c r="X738" s="1352">
        <f t="shared" si="8"/>
        <v>0</v>
      </c>
      <c r="Y738" s="1353"/>
      <c r="Z738" s="1353"/>
      <c r="AA738" s="1353"/>
      <c r="AB738" s="1354"/>
      <c r="AC738" s="1359"/>
      <c r="AD738" s="1360"/>
      <c r="AE738" s="1360"/>
      <c r="AF738" s="1360"/>
      <c r="AG738" s="1361"/>
      <c r="AH738" s="1355" t="str">
        <f t="shared" si="35"/>
        <v/>
      </c>
      <c r="AI738" s="1356"/>
      <c r="AJ738" s="1357"/>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5">
        <f t="shared" si="36"/>
        <v>0</v>
      </c>
      <c r="CH738" s="1466"/>
      <c r="CI738" s="1471">
        <f t="shared" si="37"/>
        <v>0</v>
      </c>
      <c r="CJ738" s="1472"/>
      <c r="CK738" s="1465">
        <f t="shared" si="15"/>
        <v>0</v>
      </c>
      <c r="CL738" s="1466"/>
      <c r="CM738" s="1471">
        <f t="shared" si="16"/>
        <v>0</v>
      </c>
      <c r="CN738" s="1472"/>
      <c r="CO738" s="3"/>
      <c r="CP738" s="1460">
        <f t="shared" si="17"/>
        <v>0</v>
      </c>
      <c r="CQ738" s="1461"/>
      <c r="CR738" s="1461"/>
      <c r="CS738" s="1461"/>
      <c r="CT738" s="1462"/>
      <c r="CU738" s="1444">
        <f t="shared" si="18"/>
        <v>0</v>
      </c>
      <c r="CV738" s="1444"/>
      <c r="CW738" s="1444"/>
      <c r="CX738" s="1444"/>
      <c r="CY738" s="1444"/>
      <c r="CZ738" s="1444">
        <f t="shared" si="19"/>
        <v>0</v>
      </c>
      <c r="DA738" s="1444"/>
      <c r="DB738" s="1444"/>
      <c r="DC738" s="1444"/>
      <c r="DD738" s="1444"/>
      <c r="DE738" s="1444">
        <f t="shared" si="20"/>
        <v>0</v>
      </c>
      <c r="DF738" s="1444"/>
      <c r="DG738" s="1444"/>
      <c r="DH738" s="1444"/>
      <c r="DI738" s="1444"/>
      <c r="DJ738" s="1444">
        <f t="shared" si="21"/>
        <v>0</v>
      </c>
      <c r="DK738" s="1444"/>
      <c r="DL738" s="1444"/>
      <c r="DM738" s="1444"/>
      <c r="DN738" s="1444"/>
      <c r="DO738" s="1444">
        <f t="shared" si="22"/>
        <v>0</v>
      </c>
      <c r="DP738" s="1444"/>
      <c r="DQ738" s="1444"/>
      <c r="DR738" s="1444"/>
      <c r="DS738" s="1444"/>
      <c r="DT738" s="6"/>
      <c r="DU738" s="1445">
        <f t="shared" si="23"/>
        <v>0</v>
      </c>
      <c r="DV738" s="1445"/>
      <c r="DW738" s="1445"/>
      <c r="DX738" s="1445"/>
      <c r="DY738" s="1445"/>
      <c r="DZ738" s="1445">
        <f t="shared" si="24"/>
        <v>0</v>
      </c>
      <c r="EA738" s="1445"/>
      <c r="EB738" s="1445"/>
      <c r="EC738" s="1445"/>
      <c r="ED738" s="1445"/>
      <c r="EE738" s="1445">
        <f t="shared" si="25"/>
        <v>0</v>
      </c>
      <c r="EF738" s="1445"/>
      <c r="EG738" s="1445"/>
      <c r="EH738" s="1445"/>
      <c r="EI738" s="1445"/>
      <c r="EJ738" s="1445">
        <f t="shared" si="26"/>
        <v>0</v>
      </c>
      <c r="EK738" s="1445"/>
      <c r="EL738" s="1445"/>
      <c r="EM738" s="1445"/>
      <c r="EN738" s="1445"/>
      <c r="EO738" s="1445">
        <f t="shared" si="27"/>
        <v>0</v>
      </c>
      <c r="EP738" s="1445"/>
      <c r="EQ738" s="1445"/>
      <c r="ER738" s="1445"/>
      <c r="ES738" s="1445"/>
      <c r="ET738" s="1445">
        <f t="shared" si="28"/>
        <v>0</v>
      </c>
      <c r="EU738" s="1445"/>
      <c r="EV738" s="1445"/>
      <c r="EW738" s="1445"/>
      <c r="EX738" s="1445"/>
      <c r="EZ738" s="1465" t="str">
        <f t="shared" si="29"/>
        <v/>
      </c>
      <c r="FA738" s="1467"/>
      <c r="FB738" s="1467"/>
      <c r="FC738" s="1467"/>
      <c r="FD738" s="1466"/>
      <c r="FE738" s="1465" t="str">
        <f t="shared" si="30"/>
        <v/>
      </c>
      <c r="FF738" s="1467"/>
      <c r="FG738" s="1467"/>
      <c r="FH738" s="1467"/>
      <c r="FI738" s="1466"/>
      <c r="FJ738" s="1465" t="str">
        <f t="shared" si="31"/>
        <v/>
      </c>
      <c r="FK738" s="1467"/>
      <c r="FL738" s="1467"/>
      <c r="FM738" s="1467"/>
      <c r="FN738" s="1466"/>
      <c r="FO738" s="1465" t="str">
        <f t="shared" si="32"/>
        <v/>
      </c>
      <c r="FP738" s="1467"/>
      <c r="FQ738" s="1467"/>
      <c r="FR738" s="1467"/>
      <c r="FS738" s="1466"/>
      <c r="FT738" s="1465" t="str">
        <f t="shared" si="33"/>
        <v/>
      </c>
      <c r="FU738" s="1467"/>
      <c r="FV738" s="1467"/>
      <c r="FW738" s="1467"/>
      <c r="FX738" s="1466"/>
      <c r="FY738" s="1465" t="str">
        <f t="shared" si="34"/>
        <v/>
      </c>
      <c r="FZ738" s="1467"/>
      <c r="GA738" s="1467"/>
      <c r="GB738" s="1467"/>
      <c r="GC738" s="1466"/>
    </row>
    <row r="739" spans="1:185" ht="13" customHeight="1">
      <c r="B739" s="1336"/>
      <c r="C739" s="1337"/>
      <c r="D739" s="1337"/>
      <c r="E739" s="1337"/>
      <c r="F739" s="1338"/>
      <c r="G739" s="1349"/>
      <c r="H739" s="1350"/>
      <c r="I739" s="1350"/>
      <c r="J739" s="1351"/>
      <c r="K739" s="1342"/>
      <c r="L739" s="1343"/>
      <c r="M739" s="1343"/>
      <c r="N739" s="1344"/>
      <c r="O739" s="1339"/>
      <c r="P739" s="1340"/>
      <c r="Q739" s="1340"/>
      <c r="R739" s="1340"/>
      <c r="S739" s="1341"/>
      <c r="T739" s="1339"/>
      <c r="U739" s="1340"/>
      <c r="V739" s="1340"/>
      <c r="W739" s="1341"/>
      <c r="X739" s="1352">
        <f t="shared" si="8"/>
        <v>0</v>
      </c>
      <c r="Y739" s="1353"/>
      <c r="Z739" s="1353"/>
      <c r="AA739" s="1353"/>
      <c r="AB739" s="1354"/>
      <c r="AC739" s="1359"/>
      <c r="AD739" s="1360"/>
      <c r="AE739" s="1360"/>
      <c r="AF739" s="1360"/>
      <c r="AG739" s="1361"/>
      <c r="AH739" s="1355" t="str">
        <f t="shared" si="35"/>
        <v/>
      </c>
      <c r="AI739" s="1356"/>
      <c r="AJ739" s="1357"/>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5">
        <f t="shared" si="36"/>
        <v>0</v>
      </c>
      <c r="CH739" s="1466"/>
      <c r="CI739" s="1471">
        <f t="shared" si="37"/>
        <v>0</v>
      </c>
      <c r="CJ739" s="1472"/>
      <c r="CK739" s="1465">
        <f t="shared" si="15"/>
        <v>0</v>
      </c>
      <c r="CL739" s="1466"/>
      <c r="CM739" s="1471">
        <f t="shared" si="16"/>
        <v>0</v>
      </c>
      <c r="CN739" s="1472"/>
      <c r="CO739" s="3"/>
      <c r="CP739" s="1460">
        <f t="shared" si="17"/>
        <v>0</v>
      </c>
      <c r="CQ739" s="1461"/>
      <c r="CR739" s="1461"/>
      <c r="CS739" s="1461"/>
      <c r="CT739" s="1462"/>
      <c r="CU739" s="1444">
        <f t="shared" si="18"/>
        <v>0</v>
      </c>
      <c r="CV739" s="1444"/>
      <c r="CW739" s="1444"/>
      <c r="CX739" s="1444"/>
      <c r="CY739" s="1444"/>
      <c r="CZ739" s="1444">
        <f t="shared" si="19"/>
        <v>0</v>
      </c>
      <c r="DA739" s="1444"/>
      <c r="DB739" s="1444"/>
      <c r="DC739" s="1444"/>
      <c r="DD739" s="1444"/>
      <c r="DE739" s="1444">
        <f t="shared" si="20"/>
        <v>0</v>
      </c>
      <c r="DF739" s="1444"/>
      <c r="DG739" s="1444"/>
      <c r="DH739" s="1444"/>
      <c r="DI739" s="1444"/>
      <c r="DJ739" s="1444">
        <f t="shared" si="21"/>
        <v>0</v>
      </c>
      <c r="DK739" s="1444"/>
      <c r="DL739" s="1444"/>
      <c r="DM739" s="1444"/>
      <c r="DN739" s="1444"/>
      <c r="DO739" s="1444">
        <f t="shared" si="22"/>
        <v>0</v>
      </c>
      <c r="DP739" s="1444"/>
      <c r="DQ739" s="1444"/>
      <c r="DR739" s="1444"/>
      <c r="DS739" s="1444"/>
      <c r="DT739" s="6"/>
      <c r="DU739" s="1445">
        <f t="shared" si="23"/>
        <v>0</v>
      </c>
      <c r="DV739" s="1445"/>
      <c r="DW739" s="1445"/>
      <c r="DX739" s="1445"/>
      <c r="DY739" s="1445"/>
      <c r="DZ739" s="1445">
        <f t="shared" si="24"/>
        <v>0</v>
      </c>
      <c r="EA739" s="1445"/>
      <c r="EB739" s="1445"/>
      <c r="EC739" s="1445"/>
      <c r="ED739" s="1445"/>
      <c r="EE739" s="1445">
        <f t="shared" si="25"/>
        <v>0</v>
      </c>
      <c r="EF739" s="1445"/>
      <c r="EG739" s="1445"/>
      <c r="EH739" s="1445"/>
      <c r="EI739" s="1445"/>
      <c r="EJ739" s="1445">
        <f t="shared" si="26"/>
        <v>0</v>
      </c>
      <c r="EK739" s="1445"/>
      <c r="EL739" s="1445"/>
      <c r="EM739" s="1445"/>
      <c r="EN739" s="1445"/>
      <c r="EO739" s="1445">
        <f t="shared" si="27"/>
        <v>0</v>
      </c>
      <c r="EP739" s="1445"/>
      <c r="EQ739" s="1445"/>
      <c r="ER739" s="1445"/>
      <c r="ES739" s="1445"/>
      <c r="ET739" s="1445">
        <f t="shared" si="28"/>
        <v>0</v>
      </c>
      <c r="EU739" s="1445"/>
      <c r="EV739" s="1445"/>
      <c r="EW739" s="1445"/>
      <c r="EX739" s="1445"/>
      <c r="EZ739" s="1465" t="str">
        <f t="shared" si="29"/>
        <v/>
      </c>
      <c r="FA739" s="1467"/>
      <c r="FB739" s="1467"/>
      <c r="FC739" s="1467"/>
      <c r="FD739" s="1466"/>
      <c r="FE739" s="1465" t="str">
        <f t="shared" si="30"/>
        <v/>
      </c>
      <c r="FF739" s="1467"/>
      <c r="FG739" s="1467"/>
      <c r="FH739" s="1467"/>
      <c r="FI739" s="1466"/>
      <c r="FJ739" s="1465" t="str">
        <f t="shared" si="31"/>
        <v/>
      </c>
      <c r="FK739" s="1467"/>
      <c r="FL739" s="1467"/>
      <c r="FM739" s="1467"/>
      <c r="FN739" s="1466"/>
      <c r="FO739" s="1465" t="str">
        <f t="shared" si="32"/>
        <v/>
      </c>
      <c r="FP739" s="1467"/>
      <c r="FQ739" s="1467"/>
      <c r="FR739" s="1467"/>
      <c r="FS739" s="1466"/>
      <c r="FT739" s="1465" t="str">
        <f t="shared" si="33"/>
        <v/>
      </c>
      <c r="FU739" s="1467"/>
      <c r="FV739" s="1467"/>
      <c r="FW739" s="1467"/>
      <c r="FX739" s="1466"/>
      <c r="FY739" s="1465" t="str">
        <f t="shared" si="34"/>
        <v/>
      </c>
      <c r="FZ739" s="1467"/>
      <c r="GA739" s="1467"/>
      <c r="GB739" s="1467"/>
      <c r="GC739" s="1466"/>
    </row>
    <row r="740" spans="1:185" ht="13" customHeight="1">
      <c r="B740" s="1336"/>
      <c r="C740" s="1337"/>
      <c r="D740" s="1337"/>
      <c r="E740" s="1337"/>
      <c r="F740" s="1338"/>
      <c r="G740" s="1349"/>
      <c r="H740" s="1350"/>
      <c r="I740" s="1350"/>
      <c r="J740" s="1351"/>
      <c r="K740" s="1342"/>
      <c r="L740" s="1343"/>
      <c r="M740" s="1343"/>
      <c r="N740" s="1344"/>
      <c r="O740" s="1339"/>
      <c r="P740" s="1340"/>
      <c r="Q740" s="1340"/>
      <c r="R740" s="1340"/>
      <c r="S740" s="1341"/>
      <c r="T740" s="1339"/>
      <c r="U740" s="1340"/>
      <c r="V740" s="1340"/>
      <c r="W740" s="1341"/>
      <c r="X740" s="1352">
        <f t="shared" si="8"/>
        <v>0</v>
      </c>
      <c r="Y740" s="1353"/>
      <c r="Z740" s="1353"/>
      <c r="AA740" s="1353"/>
      <c r="AB740" s="1354"/>
      <c r="AC740" s="1359"/>
      <c r="AD740" s="1360"/>
      <c r="AE740" s="1360"/>
      <c r="AF740" s="1360"/>
      <c r="AG740" s="1361"/>
      <c r="AH740" s="1355" t="str">
        <f t="shared" si="35"/>
        <v/>
      </c>
      <c r="AI740" s="1356"/>
      <c r="AJ740" s="1357"/>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5">
        <f t="shared" si="36"/>
        <v>0</v>
      </c>
      <c r="CH740" s="1466"/>
      <c r="CI740" s="1471">
        <f t="shared" si="37"/>
        <v>0</v>
      </c>
      <c r="CJ740" s="1472"/>
      <c r="CK740" s="1465">
        <f t="shared" si="15"/>
        <v>0</v>
      </c>
      <c r="CL740" s="1466"/>
      <c r="CM740" s="1471">
        <f t="shared" si="16"/>
        <v>0</v>
      </c>
      <c r="CN740" s="1472"/>
      <c r="CO740" s="3"/>
      <c r="CP740" s="1460">
        <f t="shared" si="17"/>
        <v>0</v>
      </c>
      <c r="CQ740" s="1461"/>
      <c r="CR740" s="1461"/>
      <c r="CS740" s="1461"/>
      <c r="CT740" s="1462"/>
      <c r="CU740" s="1444">
        <f t="shared" si="18"/>
        <v>0</v>
      </c>
      <c r="CV740" s="1444"/>
      <c r="CW740" s="1444"/>
      <c r="CX740" s="1444"/>
      <c r="CY740" s="1444"/>
      <c r="CZ740" s="1444">
        <f t="shared" si="19"/>
        <v>0</v>
      </c>
      <c r="DA740" s="1444"/>
      <c r="DB740" s="1444"/>
      <c r="DC740" s="1444"/>
      <c r="DD740" s="1444"/>
      <c r="DE740" s="1444">
        <f t="shared" si="20"/>
        <v>0</v>
      </c>
      <c r="DF740" s="1444"/>
      <c r="DG740" s="1444"/>
      <c r="DH740" s="1444"/>
      <c r="DI740" s="1444"/>
      <c r="DJ740" s="1444">
        <f t="shared" si="21"/>
        <v>0</v>
      </c>
      <c r="DK740" s="1444"/>
      <c r="DL740" s="1444"/>
      <c r="DM740" s="1444"/>
      <c r="DN740" s="1444"/>
      <c r="DO740" s="1444">
        <f t="shared" si="22"/>
        <v>0</v>
      </c>
      <c r="DP740" s="1444"/>
      <c r="DQ740" s="1444"/>
      <c r="DR740" s="1444"/>
      <c r="DS740" s="1444"/>
      <c r="DT740" s="6"/>
      <c r="DU740" s="1445">
        <f t="shared" si="23"/>
        <v>0</v>
      </c>
      <c r="DV740" s="1445"/>
      <c r="DW740" s="1445"/>
      <c r="DX740" s="1445"/>
      <c r="DY740" s="1445"/>
      <c r="DZ740" s="1445">
        <f t="shared" si="24"/>
        <v>0</v>
      </c>
      <c r="EA740" s="1445"/>
      <c r="EB740" s="1445"/>
      <c r="EC740" s="1445"/>
      <c r="ED740" s="1445"/>
      <c r="EE740" s="1445">
        <f t="shared" si="25"/>
        <v>0</v>
      </c>
      <c r="EF740" s="1445"/>
      <c r="EG740" s="1445"/>
      <c r="EH740" s="1445"/>
      <c r="EI740" s="1445"/>
      <c r="EJ740" s="1445">
        <f t="shared" si="26"/>
        <v>0</v>
      </c>
      <c r="EK740" s="1445"/>
      <c r="EL740" s="1445"/>
      <c r="EM740" s="1445"/>
      <c r="EN740" s="1445"/>
      <c r="EO740" s="1445">
        <f t="shared" si="27"/>
        <v>0</v>
      </c>
      <c r="EP740" s="1445"/>
      <c r="EQ740" s="1445"/>
      <c r="ER740" s="1445"/>
      <c r="ES740" s="1445"/>
      <c r="ET740" s="1445">
        <f t="shared" si="28"/>
        <v>0</v>
      </c>
      <c r="EU740" s="1445"/>
      <c r="EV740" s="1445"/>
      <c r="EW740" s="1445"/>
      <c r="EX740" s="1445"/>
      <c r="EZ740" s="1465" t="str">
        <f t="shared" si="29"/>
        <v/>
      </c>
      <c r="FA740" s="1467"/>
      <c r="FB740" s="1467"/>
      <c r="FC740" s="1467"/>
      <c r="FD740" s="1466"/>
      <c r="FE740" s="1465" t="str">
        <f t="shared" si="30"/>
        <v/>
      </c>
      <c r="FF740" s="1467"/>
      <c r="FG740" s="1467"/>
      <c r="FH740" s="1467"/>
      <c r="FI740" s="1466"/>
      <c r="FJ740" s="1465" t="str">
        <f t="shared" si="31"/>
        <v/>
      </c>
      <c r="FK740" s="1467"/>
      <c r="FL740" s="1467"/>
      <c r="FM740" s="1467"/>
      <c r="FN740" s="1466"/>
      <c r="FO740" s="1465" t="str">
        <f t="shared" si="32"/>
        <v/>
      </c>
      <c r="FP740" s="1467"/>
      <c r="FQ740" s="1467"/>
      <c r="FR740" s="1467"/>
      <c r="FS740" s="1466"/>
      <c r="FT740" s="1465" t="str">
        <f t="shared" si="33"/>
        <v/>
      </c>
      <c r="FU740" s="1467"/>
      <c r="FV740" s="1467"/>
      <c r="FW740" s="1467"/>
      <c r="FX740" s="1466"/>
      <c r="FY740" s="1465" t="str">
        <f t="shared" si="34"/>
        <v/>
      </c>
      <c r="FZ740" s="1467"/>
      <c r="GA740" s="1467"/>
      <c r="GB740" s="1467"/>
      <c r="GC740" s="1466"/>
    </row>
    <row r="741" spans="1:185" ht="13" customHeight="1">
      <c r="B741" s="1336"/>
      <c r="C741" s="1337"/>
      <c r="D741" s="1337"/>
      <c r="E741" s="1337"/>
      <c r="F741" s="1338"/>
      <c r="G741" s="1349"/>
      <c r="H741" s="1350"/>
      <c r="I741" s="1350"/>
      <c r="J741" s="1351"/>
      <c r="K741" s="1342"/>
      <c r="L741" s="1343"/>
      <c r="M741" s="1343"/>
      <c r="N741" s="1344"/>
      <c r="O741" s="1339"/>
      <c r="P741" s="1340"/>
      <c r="Q741" s="1340"/>
      <c r="R741" s="1340"/>
      <c r="S741" s="1341"/>
      <c r="T741" s="1339"/>
      <c r="U741" s="1340"/>
      <c r="V741" s="1340"/>
      <c r="W741" s="1341"/>
      <c r="X741" s="1352">
        <f t="shared" si="8"/>
        <v>0</v>
      </c>
      <c r="Y741" s="1353"/>
      <c r="Z741" s="1353"/>
      <c r="AA741" s="1353"/>
      <c r="AB741" s="1354"/>
      <c r="AC741" s="1359"/>
      <c r="AD741" s="1360"/>
      <c r="AE741" s="1360"/>
      <c r="AF741" s="1360"/>
      <c r="AG741" s="1361"/>
      <c r="AH741" s="1355" t="str">
        <f t="shared" si="35"/>
        <v/>
      </c>
      <c r="AI741" s="1356"/>
      <c r="AJ741" s="1357"/>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5">
        <f t="shared" si="36"/>
        <v>0</v>
      </c>
      <c r="CH741" s="1466"/>
      <c r="CI741" s="1471">
        <f t="shared" si="37"/>
        <v>0</v>
      </c>
      <c r="CJ741" s="1472"/>
      <c r="CK741" s="1465">
        <f t="shared" si="15"/>
        <v>0</v>
      </c>
      <c r="CL741" s="1466"/>
      <c r="CM741" s="1471">
        <f t="shared" si="16"/>
        <v>0</v>
      </c>
      <c r="CN741" s="1472"/>
      <c r="CO741" s="3"/>
      <c r="CP741" s="1460">
        <f t="shared" si="17"/>
        <v>0</v>
      </c>
      <c r="CQ741" s="1461"/>
      <c r="CR741" s="1461"/>
      <c r="CS741" s="1461"/>
      <c r="CT741" s="1462"/>
      <c r="CU741" s="1444">
        <f t="shared" si="18"/>
        <v>0</v>
      </c>
      <c r="CV741" s="1444"/>
      <c r="CW741" s="1444"/>
      <c r="CX741" s="1444"/>
      <c r="CY741" s="1444"/>
      <c r="CZ741" s="1444">
        <f t="shared" si="19"/>
        <v>0</v>
      </c>
      <c r="DA741" s="1444"/>
      <c r="DB741" s="1444"/>
      <c r="DC741" s="1444"/>
      <c r="DD741" s="1444"/>
      <c r="DE741" s="1444">
        <f t="shared" si="20"/>
        <v>0</v>
      </c>
      <c r="DF741" s="1444"/>
      <c r="DG741" s="1444"/>
      <c r="DH741" s="1444"/>
      <c r="DI741" s="1444"/>
      <c r="DJ741" s="1444">
        <f t="shared" si="21"/>
        <v>0</v>
      </c>
      <c r="DK741" s="1444"/>
      <c r="DL741" s="1444"/>
      <c r="DM741" s="1444"/>
      <c r="DN741" s="1444"/>
      <c r="DO741" s="1444">
        <f t="shared" si="22"/>
        <v>0</v>
      </c>
      <c r="DP741" s="1444"/>
      <c r="DQ741" s="1444"/>
      <c r="DR741" s="1444"/>
      <c r="DS741" s="1444"/>
      <c r="DT741" s="6"/>
      <c r="DU741" s="1445">
        <f t="shared" si="23"/>
        <v>0</v>
      </c>
      <c r="DV741" s="1445"/>
      <c r="DW741" s="1445"/>
      <c r="DX741" s="1445"/>
      <c r="DY741" s="1445"/>
      <c r="DZ741" s="1445">
        <f t="shared" si="24"/>
        <v>0</v>
      </c>
      <c r="EA741" s="1445"/>
      <c r="EB741" s="1445"/>
      <c r="EC741" s="1445"/>
      <c r="ED741" s="1445"/>
      <c r="EE741" s="1445">
        <f t="shared" si="25"/>
        <v>0</v>
      </c>
      <c r="EF741" s="1445"/>
      <c r="EG741" s="1445"/>
      <c r="EH741" s="1445"/>
      <c r="EI741" s="1445"/>
      <c r="EJ741" s="1445">
        <f t="shared" si="26"/>
        <v>0</v>
      </c>
      <c r="EK741" s="1445"/>
      <c r="EL741" s="1445"/>
      <c r="EM741" s="1445"/>
      <c r="EN741" s="1445"/>
      <c r="EO741" s="1445">
        <f t="shared" si="27"/>
        <v>0</v>
      </c>
      <c r="EP741" s="1445"/>
      <c r="EQ741" s="1445"/>
      <c r="ER741" s="1445"/>
      <c r="ES741" s="1445"/>
      <c r="ET741" s="1445">
        <f t="shared" si="28"/>
        <v>0</v>
      </c>
      <c r="EU741" s="1445"/>
      <c r="EV741" s="1445"/>
      <c r="EW741" s="1445"/>
      <c r="EX741" s="1445"/>
      <c r="EZ741" s="1465" t="str">
        <f t="shared" si="29"/>
        <v/>
      </c>
      <c r="FA741" s="1467"/>
      <c r="FB741" s="1467"/>
      <c r="FC741" s="1467"/>
      <c r="FD741" s="1466"/>
      <c r="FE741" s="1465" t="str">
        <f t="shared" si="30"/>
        <v/>
      </c>
      <c r="FF741" s="1467"/>
      <c r="FG741" s="1467"/>
      <c r="FH741" s="1467"/>
      <c r="FI741" s="1466"/>
      <c r="FJ741" s="1465" t="str">
        <f t="shared" si="31"/>
        <v/>
      </c>
      <c r="FK741" s="1467"/>
      <c r="FL741" s="1467"/>
      <c r="FM741" s="1467"/>
      <c r="FN741" s="1466"/>
      <c r="FO741" s="1465" t="str">
        <f t="shared" si="32"/>
        <v/>
      </c>
      <c r="FP741" s="1467"/>
      <c r="FQ741" s="1467"/>
      <c r="FR741" s="1467"/>
      <c r="FS741" s="1466"/>
      <c r="FT741" s="1465" t="str">
        <f t="shared" si="33"/>
        <v/>
      </c>
      <c r="FU741" s="1467"/>
      <c r="FV741" s="1467"/>
      <c r="FW741" s="1467"/>
      <c r="FX741" s="1466"/>
      <c r="FY741" s="1465" t="str">
        <f t="shared" si="34"/>
        <v/>
      </c>
      <c r="FZ741" s="1467"/>
      <c r="GA741" s="1467"/>
      <c r="GB741" s="1467"/>
      <c r="GC741" s="1466"/>
    </row>
    <row r="742" spans="1:185" ht="13" customHeight="1">
      <c r="B742" s="1336"/>
      <c r="C742" s="1337"/>
      <c r="D742" s="1337"/>
      <c r="E742" s="1337"/>
      <c r="F742" s="1338"/>
      <c r="G742" s="1349"/>
      <c r="H742" s="1350"/>
      <c r="I742" s="1350"/>
      <c r="J742" s="1351"/>
      <c r="K742" s="1342"/>
      <c r="L742" s="1343"/>
      <c r="M742" s="1343"/>
      <c r="N742" s="1344"/>
      <c r="O742" s="1339"/>
      <c r="P742" s="1340"/>
      <c r="Q742" s="1340"/>
      <c r="R742" s="1340"/>
      <c r="S742" s="1341"/>
      <c r="T742" s="1339"/>
      <c r="U742" s="1340"/>
      <c r="V742" s="1340"/>
      <c r="W742" s="1341"/>
      <c r="X742" s="1352">
        <f t="shared" ref="X742:X751" si="38">O742+T742</f>
        <v>0</v>
      </c>
      <c r="Y742" s="1353"/>
      <c r="Z742" s="1353"/>
      <c r="AA742" s="1353"/>
      <c r="AB742" s="1354"/>
      <c r="AC742" s="1359"/>
      <c r="AD742" s="1360"/>
      <c r="AE742" s="1360"/>
      <c r="AF742" s="1360"/>
      <c r="AG742" s="1361"/>
      <c r="AH742" s="1355" t="str">
        <f t="shared" si="35"/>
        <v/>
      </c>
      <c r="AI742" s="1356"/>
      <c r="AJ742" s="1357"/>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5">
        <f t="shared" si="36"/>
        <v>0</v>
      </c>
      <c r="CH742" s="1466"/>
      <c r="CI742" s="1471">
        <f t="shared" si="37"/>
        <v>0</v>
      </c>
      <c r="CJ742" s="1472"/>
      <c r="CK742" s="1465">
        <f t="shared" si="15"/>
        <v>0</v>
      </c>
      <c r="CL742" s="1466"/>
      <c r="CM742" s="1471">
        <f t="shared" si="16"/>
        <v>0</v>
      </c>
      <c r="CN742" s="1472"/>
      <c r="CO742" s="3"/>
      <c r="CP742" s="1460">
        <f t="shared" si="17"/>
        <v>0</v>
      </c>
      <c r="CQ742" s="1461"/>
      <c r="CR742" s="1461"/>
      <c r="CS742" s="1461"/>
      <c r="CT742" s="1462"/>
      <c r="CU742" s="1444">
        <f t="shared" si="18"/>
        <v>0</v>
      </c>
      <c r="CV742" s="1444"/>
      <c r="CW742" s="1444"/>
      <c r="CX742" s="1444"/>
      <c r="CY742" s="1444"/>
      <c r="CZ742" s="1444">
        <f t="shared" si="19"/>
        <v>0</v>
      </c>
      <c r="DA742" s="1444"/>
      <c r="DB742" s="1444"/>
      <c r="DC742" s="1444"/>
      <c r="DD742" s="1444"/>
      <c r="DE742" s="1444">
        <f t="shared" si="20"/>
        <v>0</v>
      </c>
      <c r="DF742" s="1444"/>
      <c r="DG742" s="1444"/>
      <c r="DH742" s="1444"/>
      <c r="DI742" s="1444"/>
      <c r="DJ742" s="1444">
        <f t="shared" si="21"/>
        <v>0</v>
      </c>
      <c r="DK742" s="1444"/>
      <c r="DL742" s="1444"/>
      <c r="DM742" s="1444"/>
      <c r="DN742" s="1444"/>
      <c r="DO742" s="1444">
        <f t="shared" si="22"/>
        <v>0</v>
      </c>
      <c r="DP742" s="1444"/>
      <c r="DQ742" s="1444"/>
      <c r="DR742" s="1444"/>
      <c r="DS742" s="1444"/>
      <c r="DT742" s="6"/>
      <c r="DU742" s="1445">
        <f t="shared" si="23"/>
        <v>0</v>
      </c>
      <c r="DV742" s="1445"/>
      <c r="DW742" s="1445"/>
      <c r="DX742" s="1445"/>
      <c r="DY742" s="1445"/>
      <c r="DZ742" s="1445">
        <f t="shared" si="24"/>
        <v>0</v>
      </c>
      <c r="EA742" s="1445"/>
      <c r="EB742" s="1445"/>
      <c r="EC742" s="1445"/>
      <c r="ED742" s="1445"/>
      <c r="EE742" s="1445">
        <f t="shared" si="25"/>
        <v>0</v>
      </c>
      <c r="EF742" s="1445"/>
      <c r="EG742" s="1445"/>
      <c r="EH742" s="1445"/>
      <c r="EI742" s="1445"/>
      <c r="EJ742" s="1445">
        <f t="shared" si="26"/>
        <v>0</v>
      </c>
      <c r="EK742" s="1445"/>
      <c r="EL742" s="1445"/>
      <c r="EM742" s="1445"/>
      <c r="EN742" s="1445"/>
      <c r="EO742" s="1445">
        <f t="shared" si="27"/>
        <v>0</v>
      </c>
      <c r="EP742" s="1445"/>
      <c r="EQ742" s="1445"/>
      <c r="ER742" s="1445"/>
      <c r="ES742" s="1445"/>
      <c r="ET742" s="1445">
        <f t="shared" si="28"/>
        <v>0</v>
      </c>
      <c r="EU742" s="1445"/>
      <c r="EV742" s="1445"/>
      <c r="EW742" s="1445"/>
      <c r="EX742" s="1445"/>
      <c r="EZ742" s="1465" t="str">
        <f t="shared" si="29"/>
        <v/>
      </c>
      <c r="FA742" s="1467"/>
      <c r="FB742" s="1467"/>
      <c r="FC742" s="1467"/>
      <c r="FD742" s="1466"/>
      <c r="FE742" s="1465" t="str">
        <f t="shared" si="30"/>
        <v/>
      </c>
      <c r="FF742" s="1467"/>
      <c r="FG742" s="1467"/>
      <c r="FH742" s="1467"/>
      <c r="FI742" s="1466"/>
      <c r="FJ742" s="1465" t="str">
        <f t="shared" si="31"/>
        <v/>
      </c>
      <c r="FK742" s="1467"/>
      <c r="FL742" s="1467"/>
      <c r="FM742" s="1467"/>
      <c r="FN742" s="1466"/>
      <c r="FO742" s="1465" t="str">
        <f t="shared" si="32"/>
        <v/>
      </c>
      <c r="FP742" s="1467"/>
      <c r="FQ742" s="1467"/>
      <c r="FR742" s="1467"/>
      <c r="FS742" s="1466"/>
      <c r="FT742" s="1465" t="str">
        <f t="shared" si="33"/>
        <v/>
      </c>
      <c r="FU742" s="1467"/>
      <c r="FV742" s="1467"/>
      <c r="FW742" s="1467"/>
      <c r="FX742" s="1466"/>
      <c r="FY742" s="1465" t="str">
        <f t="shared" si="34"/>
        <v/>
      </c>
      <c r="FZ742" s="1467"/>
      <c r="GA742" s="1467"/>
      <c r="GB742" s="1467"/>
      <c r="GC742" s="1466"/>
    </row>
    <row r="743" spans="1:185" s="3" customFormat="1" ht="13" customHeight="1">
      <c r="A743"/>
      <c r="B743" s="1336"/>
      <c r="C743" s="1337"/>
      <c r="D743" s="1337"/>
      <c r="E743" s="1337"/>
      <c r="F743" s="1338"/>
      <c r="G743" s="1349"/>
      <c r="H743" s="1350"/>
      <c r="I743" s="1350"/>
      <c r="J743" s="1351"/>
      <c r="K743" s="1342"/>
      <c r="L743" s="1343"/>
      <c r="M743" s="1343"/>
      <c r="N743" s="1344"/>
      <c r="O743" s="1339"/>
      <c r="P743" s="1340"/>
      <c r="Q743" s="1340"/>
      <c r="R743" s="1340"/>
      <c r="S743" s="1341"/>
      <c r="T743" s="1339"/>
      <c r="U743" s="1340"/>
      <c r="V743" s="1340"/>
      <c r="W743" s="1341"/>
      <c r="X743" s="1352">
        <f t="shared" si="38"/>
        <v>0</v>
      </c>
      <c r="Y743" s="1353"/>
      <c r="Z743" s="1353"/>
      <c r="AA743" s="1353"/>
      <c r="AB743" s="1354"/>
      <c r="AC743" s="1359"/>
      <c r="AD743" s="1360"/>
      <c r="AE743" s="1360"/>
      <c r="AF743" s="1360"/>
      <c r="AG743" s="1361"/>
      <c r="AH743" s="1355" t="str">
        <f t="shared" si="35"/>
        <v/>
      </c>
      <c r="AI743" s="1356"/>
      <c r="AJ743" s="1357"/>
      <c r="AK743" s="1336" t="s">
        <v>591</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5">
        <f t="shared" si="36"/>
        <v>0</v>
      </c>
      <c r="CH743" s="1466"/>
      <c r="CI743" s="1471">
        <f t="shared" si="37"/>
        <v>0</v>
      </c>
      <c r="CJ743" s="1472"/>
      <c r="CK743" s="1465">
        <f t="shared" si="15"/>
        <v>0</v>
      </c>
      <c r="CL743" s="1466"/>
      <c r="CM743" s="1471">
        <f t="shared" si="16"/>
        <v>0</v>
      </c>
      <c r="CN743" s="1472"/>
      <c r="CP743" s="1460">
        <f t="shared" si="17"/>
        <v>0</v>
      </c>
      <c r="CQ743" s="1461"/>
      <c r="CR743" s="1461"/>
      <c r="CS743" s="1461"/>
      <c r="CT743" s="1462"/>
      <c r="CU743" s="1444">
        <f t="shared" si="18"/>
        <v>0</v>
      </c>
      <c r="CV743" s="1444"/>
      <c r="CW743" s="1444"/>
      <c r="CX743" s="1444"/>
      <c r="CY743" s="1444"/>
      <c r="CZ743" s="1444">
        <f t="shared" si="19"/>
        <v>0</v>
      </c>
      <c r="DA743" s="1444"/>
      <c r="DB743" s="1444"/>
      <c r="DC743" s="1444"/>
      <c r="DD743" s="1444"/>
      <c r="DE743" s="1444">
        <f t="shared" si="20"/>
        <v>0</v>
      </c>
      <c r="DF743" s="1444"/>
      <c r="DG743" s="1444"/>
      <c r="DH743" s="1444"/>
      <c r="DI743" s="1444"/>
      <c r="DJ743" s="1444">
        <f t="shared" si="21"/>
        <v>0</v>
      </c>
      <c r="DK743" s="1444"/>
      <c r="DL743" s="1444"/>
      <c r="DM743" s="1444"/>
      <c r="DN743" s="1444"/>
      <c r="DO743" s="1444">
        <f t="shared" si="22"/>
        <v>0</v>
      </c>
      <c r="DP743" s="1444"/>
      <c r="DQ743" s="1444"/>
      <c r="DR743" s="1444"/>
      <c r="DS743" s="1444"/>
      <c r="DT743" s="6"/>
      <c r="DU743" s="1445">
        <f t="shared" si="23"/>
        <v>0</v>
      </c>
      <c r="DV743" s="1445"/>
      <c r="DW743" s="1445"/>
      <c r="DX743" s="1445"/>
      <c r="DY743" s="1445"/>
      <c r="DZ743" s="1445">
        <f t="shared" si="24"/>
        <v>0</v>
      </c>
      <c r="EA743" s="1445"/>
      <c r="EB743" s="1445"/>
      <c r="EC743" s="1445"/>
      <c r="ED743" s="1445"/>
      <c r="EE743" s="1445">
        <f t="shared" si="25"/>
        <v>0</v>
      </c>
      <c r="EF743" s="1445"/>
      <c r="EG743" s="1445"/>
      <c r="EH743" s="1445"/>
      <c r="EI743" s="1445"/>
      <c r="EJ743" s="1445">
        <f t="shared" si="26"/>
        <v>0</v>
      </c>
      <c r="EK743" s="1445"/>
      <c r="EL743" s="1445"/>
      <c r="EM743" s="1445"/>
      <c r="EN743" s="1445"/>
      <c r="EO743" s="1445">
        <f t="shared" si="27"/>
        <v>0</v>
      </c>
      <c r="EP743" s="1445"/>
      <c r="EQ743" s="1445"/>
      <c r="ER743" s="1445"/>
      <c r="ES743" s="1445"/>
      <c r="ET743" s="1445">
        <f t="shared" si="28"/>
        <v>0</v>
      </c>
      <c r="EU743" s="1445"/>
      <c r="EV743" s="1445"/>
      <c r="EW743" s="1445"/>
      <c r="EX743" s="1445"/>
      <c r="EY743"/>
      <c r="EZ743" s="1465" t="str">
        <f t="shared" si="29"/>
        <v/>
      </c>
      <c r="FA743" s="1467"/>
      <c r="FB743" s="1467"/>
      <c r="FC743" s="1467"/>
      <c r="FD743" s="1466"/>
      <c r="FE743" s="1465" t="str">
        <f t="shared" si="30"/>
        <v/>
      </c>
      <c r="FF743" s="1467"/>
      <c r="FG743" s="1467"/>
      <c r="FH743" s="1467"/>
      <c r="FI743" s="1466"/>
      <c r="FJ743" s="1465" t="str">
        <f t="shared" si="31"/>
        <v/>
      </c>
      <c r="FK743" s="1467"/>
      <c r="FL743" s="1467"/>
      <c r="FM743" s="1467"/>
      <c r="FN743" s="1466"/>
      <c r="FO743" s="1465" t="str">
        <f t="shared" si="32"/>
        <v/>
      </c>
      <c r="FP743" s="1467"/>
      <c r="FQ743" s="1467"/>
      <c r="FR743" s="1467"/>
      <c r="FS743" s="1466"/>
      <c r="FT743" s="1465" t="str">
        <f t="shared" si="33"/>
        <v/>
      </c>
      <c r="FU743" s="1467"/>
      <c r="FV743" s="1467"/>
      <c r="FW743" s="1467"/>
      <c r="FX743" s="1466"/>
      <c r="FY743" s="1465" t="str">
        <f t="shared" si="34"/>
        <v/>
      </c>
      <c r="FZ743" s="1467"/>
      <c r="GA743" s="1467"/>
      <c r="GB743" s="1467"/>
      <c r="GC743" s="1466"/>
    </row>
    <row r="744" spans="1:185" ht="13" customHeight="1">
      <c r="B744" s="1336"/>
      <c r="C744" s="1337"/>
      <c r="D744" s="1337"/>
      <c r="E744" s="1337"/>
      <c r="F744" s="1338"/>
      <c r="G744" s="1349"/>
      <c r="H744" s="1350"/>
      <c r="I744" s="1350"/>
      <c r="J744" s="1351"/>
      <c r="K744" s="1342"/>
      <c r="L744" s="1343"/>
      <c r="M744" s="1343"/>
      <c r="N744" s="1344"/>
      <c r="O744" s="1339"/>
      <c r="P744" s="1340"/>
      <c r="Q744" s="1340"/>
      <c r="R744" s="1340"/>
      <c r="S744" s="1341"/>
      <c r="T744" s="1339"/>
      <c r="U744" s="1340"/>
      <c r="V744" s="1340"/>
      <c r="W744" s="1341"/>
      <c r="X744" s="1352">
        <f t="shared" si="38"/>
        <v>0</v>
      </c>
      <c r="Y744" s="1353"/>
      <c r="Z744" s="1353"/>
      <c r="AA744" s="1353"/>
      <c r="AB744" s="1354"/>
      <c r="AC744" s="1359"/>
      <c r="AD744" s="1360"/>
      <c r="AE744" s="1360"/>
      <c r="AF744" s="1360"/>
      <c r="AG744" s="1361"/>
      <c r="AH744" s="1355" t="str">
        <f t="shared" si="35"/>
        <v/>
      </c>
      <c r="AI744" s="1356"/>
      <c r="AJ744" s="1357"/>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5">
        <f t="shared" si="36"/>
        <v>0</v>
      </c>
      <c r="CH744" s="1466"/>
      <c r="CI744" s="1471">
        <f t="shared" si="37"/>
        <v>0</v>
      </c>
      <c r="CJ744" s="1472"/>
      <c r="CK744" s="1465">
        <f t="shared" si="15"/>
        <v>0</v>
      </c>
      <c r="CL744" s="1466"/>
      <c r="CM744" s="1471">
        <f t="shared" si="16"/>
        <v>0</v>
      </c>
      <c r="CN744" s="1472"/>
      <c r="CO744" s="3"/>
      <c r="CP744" s="1460">
        <f t="shared" si="17"/>
        <v>0</v>
      </c>
      <c r="CQ744" s="1461"/>
      <c r="CR744" s="1461"/>
      <c r="CS744" s="1461"/>
      <c r="CT744" s="1462"/>
      <c r="CU744" s="1444">
        <f t="shared" si="18"/>
        <v>0</v>
      </c>
      <c r="CV744" s="1444"/>
      <c r="CW744" s="1444"/>
      <c r="CX744" s="1444"/>
      <c r="CY744" s="1444"/>
      <c r="CZ744" s="1444">
        <f t="shared" si="19"/>
        <v>0</v>
      </c>
      <c r="DA744" s="1444"/>
      <c r="DB744" s="1444"/>
      <c r="DC744" s="1444"/>
      <c r="DD744" s="1444"/>
      <c r="DE744" s="1444">
        <f t="shared" si="20"/>
        <v>0</v>
      </c>
      <c r="DF744" s="1444"/>
      <c r="DG744" s="1444"/>
      <c r="DH744" s="1444"/>
      <c r="DI744" s="1444"/>
      <c r="DJ744" s="1444">
        <f t="shared" si="21"/>
        <v>0</v>
      </c>
      <c r="DK744" s="1444"/>
      <c r="DL744" s="1444"/>
      <c r="DM744" s="1444"/>
      <c r="DN744" s="1444"/>
      <c r="DO744" s="1444">
        <f t="shared" si="22"/>
        <v>0</v>
      </c>
      <c r="DP744" s="1444"/>
      <c r="DQ744" s="1444"/>
      <c r="DR744" s="1444"/>
      <c r="DS744" s="1444"/>
      <c r="DT744" s="6"/>
      <c r="DU744" s="1445">
        <f t="shared" si="23"/>
        <v>0</v>
      </c>
      <c r="DV744" s="1445"/>
      <c r="DW744" s="1445"/>
      <c r="DX744" s="1445"/>
      <c r="DY744" s="1445"/>
      <c r="DZ744" s="1445">
        <f t="shared" si="24"/>
        <v>0</v>
      </c>
      <c r="EA744" s="1445"/>
      <c r="EB744" s="1445"/>
      <c r="EC744" s="1445"/>
      <c r="ED744" s="1445"/>
      <c r="EE744" s="1445">
        <f t="shared" si="25"/>
        <v>0</v>
      </c>
      <c r="EF744" s="1445"/>
      <c r="EG744" s="1445"/>
      <c r="EH744" s="1445"/>
      <c r="EI744" s="1445"/>
      <c r="EJ744" s="1445">
        <f t="shared" si="26"/>
        <v>0</v>
      </c>
      <c r="EK744" s="1445"/>
      <c r="EL744" s="1445"/>
      <c r="EM744" s="1445"/>
      <c r="EN744" s="1445"/>
      <c r="EO744" s="1445">
        <f t="shared" si="27"/>
        <v>0</v>
      </c>
      <c r="EP744" s="1445"/>
      <c r="EQ744" s="1445"/>
      <c r="ER744" s="1445"/>
      <c r="ES744" s="1445"/>
      <c r="ET744" s="1445">
        <f t="shared" si="28"/>
        <v>0</v>
      </c>
      <c r="EU744" s="1445"/>
      <c r="EV744" s="1445"/>
      <c r="EW744" s="1445"/>
      <c r="EX744" s="1445"/>
      <c r="EZ744" s="1465" t="str">
        <f t="shared" si="29"/>
        <v/>
      </c>
      <c r="FA744" s="1467"/>
      <c r="FB744" s="1467"/>
      <c r="FC744" s="1467"/>
      <c r="FD744" s="1466"/>
      <c r="FE744" s="1465" t="str">
        <f t="shared" si="30"/>
        <v/>
      </c>
      <c r="FF744" s="1467"/>
      <c r="FG744" s="1467"/>
      <c r="FH744" s="1467"/>
      <c r="FI744" s="1466"/>
      <c r="FJ744" s="1465" t="str">
        <f t="shared" si="31"/>
        <v/>
      </c>
      <c r="FK744" s="1467"/>
      <c r="FL744" s="1467"/>
      <c r="FM744" s="1467"/>
      <c r="FN744" s="1466"/>
      <c r="FO744" s="1465" t="str">
        <f t="shared" si="32"/>
        <v/>
      </c>
      <c r="FP744" s="1467"/>
      <c r="FQ744" s="1467"/>
      <c r="FR744" s="1467"/>
      <c r="FS744" s="1466"/>
      <c r="FT744" s="1465" t="str">
        <f t="shared" si="33"/>
        <v/>
      </c>
      <c r="FU744" s="1467"/>
      <c r="FV744" s="1467"/>
      <c r="FW744" s="1467"/>
      <c r="FX744" s="1466"/>
      <c r="FY744" s="1465" t="str">
        <f t="shared" si="34"/>
        <v/>
      </c>
      <c r="FZ744" s="1467"/>
      <c r="GA744" s="1467"/>
      <c r="GB744" s="1467"/>
      <c r="GC744" s="1466"/>
    </row>
    <row r="745" spans="1:185" ht="13" customHeight="1">
      <c r="B745" s="1336"/>
      <c r="C745" s="1337"/>
      <c r="D745" s="1337"/>
      <c r="E745" s="1337"/>
      <c r="F745" s="1338"/>
      <c r="G745" s="1349"/>
      <c r="H745" s="1350"/>
      <c r="I745" s="1350"/>
      <c r="J745" s="1351"/>
      <c r="K745" s="1342"/>
      <c r="L745" s="1343"/>
      <c r="M745" s="1343"/>
      <c r="N745" s="1344"/>
      <c r="O745" s="1339"/>
      <c r="P745" s="1340"/>
      <c r="Q745" s="1340"/>
      <c r="R745" s="1340"/>
      <c r="S745" s="1341"/>
      <c r="T745" s="1339"/>
      <c r="U745" s="1340"/>
      <c r="V745" s="1340"/>
      <c r="W745" s="1341"/>
      <c r="X745" s="1352">
        <f t="shared" si="38"/>
        <v>0</v>
      </c>
      <c r="Y745" s="1353"/>
      <c r="Z745" s="1353"/>
      <c r="AA745" s="1353"/>
      <c r="AB745" s="1354"/>
      <c r="AC745" s="1359"/>
      <c r="AD745" s="1360"/>
      <c r="AE745" s="1360"/>
      <c r="AF745" s="1360"/>
      <c r="AG745" s="1361"/>
      <c r="AH745" s="1355" t="str">
        <f t="shared" si="35"/>
        <v/>
      </c>
      <c r="AI745" s="1356"/>
      <c r="AJ745" s="1357"/>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5">
        <f t="shared" si="36"/>
        <v>0</v>
      </c>
      <c r="CH745" s="1466"/>
      <c r="CI745" s="1471">
        <f t="shared" si="37"/>
        <v>0</v>
      </c>
      <c r="CJ745" s="1472"/>
      <c r="CK745" s="1465">
        <f t="shared" si="15"/>
        <v>0</v>
      </c>
      <c r="CL745" s="1466"/>
      <c r="CM745" s="1471">
        <f t="shared" si="16"/>
        <v>0</v>
      </c>
      <c r="CN745" s="1472"/>
      <c r="CO745" s="3"/>
      <c r="CP745" s="1460">
        <f t="shared" si="17"/>
        <v>0</v>
      </c>
      <c r="CQ745" s="1461"/>
      <c r="CR745" s="1461"/>
      <c r="CS745" s="1461"/>
      <c r="CT745" s="1462"/>
      <c r="CU745" s="1444">
        <f t="shared" si="18"/>
        <v>0</v>
      </c>
      <c r="CV745" s="1444"/>
      <c r="CW745" s="1444"/>
      <c r="CX745" s="1444"/>
      <c r="CY745" s="1444"/>
      <c r="CZ745" s="1444">
        <f t="shared" si="19"/>
        <v>0</v>
      </c>
      <c r="DA745" s="1444"/>
      <c r="DB745" s="1444"/>
      <c r="DC745" s="1444"/>
      <c r="DD745" s="1444"/>
      <c r="DE745" s="1444">
        <f t="shared" si="20"/>
        <v>0</v>
      </c>
      <c r="DF745" s="1444"/>
      <c r="DG745" s="1444"/>
      <c r="DH745" s="1444"/>
      <c r="DI745" s="1444"/>
      <c r="DJ745" s="1444">
        <f t="shared" si="21"/>
        <v>0</v>
      </c>
      <c r="DK745" s="1444"/>
      <c r="DL745" s="1444"/>
      <c r="DM745" s="1444"/>
      <c r="DN745" s="1444"/>
      <c r="DO745" s="1444">
        <f t="shared" si="22"/>
        <v>0</v>
      </c>
      <c r="DP745" s="1444"/>
      <c r="DQ745" s="1444"/>
      <c r="DR745" s="1444"/>
      <c r="DS745" s="1444"/>
      <c r="DT745" s="6"/>
      <c r="DU745" s="1445">
        <f t="shared" si="23"/>
        <v>0</v>
      </c>
      <c r="DV745" s="1445"/>
      <c r="DW745" s="1445"/>
      <c r="DX745" s="1445"/>
      <c r="DY745" s="1445"/>
      <c r="DZ745" s="1445">
        <f t="shared" si="24"/>
        <v>0</v>
      </c>
      <c r="EA745" s="1445"/>
      <c r="EB745" s="1445"/>
      <c r="EC745" s="1445"/>
      <c r="ED745" s="1445"/>
      <c r="EE745" s="1445">
        <f t="shared" si="25"/>
        <v>0</v>
      </c>
      <c r="EF745" s="1445"/>
      <c r="EG745" s="1445"/>
      <c r="EH745" s="1445"/>
      <c r="EI745" s="1445"/>
      <c r="EJ745" s="1445">
        <f t="shared" si="26"/>
        <v>0</v>
      </c>
      <c r="EK745" s="1445"/>
      <c r="EL745" s="1445"/>
      <c r="EM745" s="1445"/>
      <c r="EN745" s="1445"/>
      <c r="EO745" s="1445">
        <f t="shared" si="27"/>
        <v>0</v>
      </c>
      <c r="EP745" s="1445"/>
      <c r="EQ745" s="1445"/>
      <c r="ER745" s="1445"/>
      <c r="ES745" s="1445"/>
      <c r="ET745" s="1445">
        <f t="shared" si="28"/>
        <v>0</v>
      </c>
      <c r="EU745" s="1445"/>
      <c r="EV745" s="1445"/>
      <c r="EW745" s="1445"/>
      <c r="EX745" s="1445"/>
      <c r="EZ745" s="1465" t="str">
        <f t="shared" si="29"/>
        <v/>
      </c>
      <c r="FA745" s="1467"/>
      <c r="FB745" s="1467"/>
      <c r="FC745" s="1467"/>
      <c r="FD745" s="1466"/>
      <c r="FE745" s="1465" t="str">
        <f t="shared" si="30"/>
        <v/>
      </c>
      <c r="FF745" s="1467"/>
      <c r="FG745" s="1467"/>
      <c r="FH745" s="1467"/>
      <c r="FI745" s="1466"/>
      <c r="FJ745" s="1465" t="str">
        <f t="shared" si="31"/>
        <v/>
      </c>
      <c r="FK745" s="1467"/>
      <c r="FL745" s="1467"/>
      <c r="FM745" s="1467"/>
      <c r="FN745" s="1466"/>
      <c r="FO745" s="1465" t="str">
        <f t="shared" si="32"/>
        <v/>
      </c>
      <c r="FP745" s="1467"/>
      <c r="FQ745" s="1467"/>
      <c r="FR745" s="1467"/>
      <c r="FS745" s="1466"/>
      <c r="FT745" s="1465" t="str">
        <f t="shared" si="33"/>
        <v/>
      </c>
      <c r="FU745" s="1467"/>
      <c r="FV745" s="1467"/>
      <c r="FW745" s="1467"/>
      <c r="FX745" s="1466"/>
      <c r="FY745" s="1465" t="str">
        <f t="shared" si="34"/>
        <v/>
      </c>
      <c r="FZ745" s="1467"/>
      <c r="GA745" s="1467"/>
      <c r="GB745" s="1467"/>
      <c r="GC745" s="1466"/>
    </row>
    <row r="746" spans="1:185" ht="13" customHeight="1">
      <c r="B746" s="1336"/>
      <c r="C746" s="1337"/>
      <c r="D746" s="1337"/>
      <c r="E746" s="1337"/>
      <c r="F746" s="1338"/>
      <c r="G746" s="1349"/>
      <c r="H746" s="1350"/>
      <c r="I746" s="1350"/>
      <c r="J746" s="1351"/>
      <c r="K746" s="1342"/>
      <c r="L746" s="1343"/>
      <c r="M746" s="1343"/>
      <c r="N746" s="1344"/>
      <c r="O746" s="1339"/>
      <c r="P746" s="1340"/>
      <c r="Q746" s="1340"/>
      <c r="R746" s="1340"/>
      <c r="S746" s="1341"/>
      <c r="T746" s="1339"/>
      <c r="U746" s="1340"/>
      <c r="V746" s="1340"/>
      <c r="W746" s="1341"/>
      <c r="X746" s="1352">
        <f t="shared" si="38"/>
        <v>0</v>
      </c>
      <c r="Y746" s="1353"/>
      <c r="Z746" s="1353"/>
      <c r="AA746" s="1353"/>
      <c r="AB746" s="1354"/>
      <c r="AC746" s="1359"/>
      <c r="AD746" s="1360"/>
      <c r="AE746" s="1360"/>
      <c r="AF746" s="1360"/>
      <c r="AG746" s="1361"/>
      <c r="AH746" s="1355" t="str">
        <f t="shared" si="35"/>
        <v/>
      </c>
      <c r="AI746" s="1356"/>
      <c r="AJ746" s="1357"/>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5">
        <f t="shared" si="36"/>
        <v>0</v>
      </c>
      <c r="CH746" s="1466"/>
      <c r="CI746" s="1471">
        <f t="shared" si="37"/>
        <v>0</v>
      </c>
      <c r="CJ746" s="1472"/>
      <c r="CK746" s="1465">
        <f t="shared" si="15"/>
        <v>0</v>
      </c>
      <c r="CL746" s="1466"/>
      <c r="CM746" s="1471">
        <f t="shared" si="16"/>
        <v>0</v>
      </c>
      <c r="CN746" s="1472"/>
      <c r="CO746" s="3"/>
      <c r="CP746" s="1460">
        <f t="shared" si="17"/>
        <v>0</v>
      </c>
      <c r="CQ746" s="1461"/>
      <c r="CR746" s="1461"/>
      <c r="CS746" s="1461"/>
      <c r="CT746" s="1462"/>
      <c r="CU746" s="1444">
        <f t="shared" si="18"/>
        <v>0</v>
      </c>
      <c r="CV746" s="1444"/>
      <c r="CW746" s="1444"/>
      <c r="CX746" s="1444"/>
      <c r="CY746" s="1444"/>
      <c r="CZ746" s="1444">
        <f t="shared" si="19"/>
        <v>0</v>
      </c>
      <c r="DA746" s="1444"/>
      <c r="DB746" s="1444"/>
      <c r="DC746" s="1444"/>
      <c r="DD746" s="1444"/>
      <c r="DE746" s="1444">
        <f t="shared" si="20"/>
        <v>0</v>
      </c>
      <c r="DF746" s="1444"/>
      <c r="DG746" s="1444"/>
      <c r="DH746" s="1444"/>
      <c r="DI746" s="1444"/>
      <c r="DJ746" s="1444">
        <f t="shared" si="21"/>
        <v>0</v>
      </c>
      <c r="DK746" s="1444"/>
      <c r="DL746" s="1444"/>
      <c r="DM746" s="1444"/>
      <c r="DN746" s="1444"/>
      <c r="DO746" s="1444">
        <f t="shared" si="22"/>
        <v>0</v>
      </c>
      <c r="DP746" s="1444"/>
      <c r="DQ746" s="1444"/>
      <c r="DR746" s="1444"/>
      <c r="DS746" s="1444"/>
      <c r="DT746" s="6"/>
      <c r="DU746" s="1445">
        <f t="shared" si="23"/>
        <v>0</v>
      </c>
      <c r="DV746" s="1445"/>
      <c r="DW746" s="1445"/>
      <c r="DX746" s="1445"/>
      <c r="DY746" s="1445"/>
      <c r="DZ746" s="1445">
        <f t="shared" si="24"/>
        <v>0</v>
      </c>
      <c r="EA746" s="1445"/>
      <c r="EB746" s="1445"/>
      <c r="EC746" s="1445"/>
      <c r="ED746" s="1445"/>
      <c r="EE746" s="1445">
        <f t="shared" si="25"/>
        <v>0</v>
      </c>
      <c r="EF746" s="1445"/>
      <c r="EG746" s="1445"/>
      <c r="EH746" s="1445"/>
      <c r="EI746" s="1445"/>
      <c r="EJ746" s="1445">
        <f t="shared" si="26"/>
        <v>0</v>
      </c>
      <c r="EK746" s="1445"/>
      <c r="EL746" s="1445"/>
      <c r="EM746" s="1445"/>
      <c r="EN746" s="1445"/>
      <c r="EO746" s="1445">
        <f t="shared" si="27"/>
        <v>0</v>
      </c>
      <c r="EP746" s="1445"/>
      <c r="EQ746" s="1445"/>
      <c r="ER746" s="1445"/>
      <c r="ES746" s="1445"/>
      <c r="ET746" s="1445">
        <f t="shared" si="28"/>
        <v>0</v>
      </c>
      <c r="EU746" s="1445"/>
      <c r="EV746" s="1445"/>
      <c r="EW746" s="1445"/>
      <c r="EX746" s="1445"/>
      <c r="EZ746" s="1465" t="str">
        <f t="shared" si="29"/>
        <v/>
      </c>
      <c r="FA746" s="1467"/>
      <c r="FB746" s="1467"/>
      <c r="FC746" s="1467"/>
      <c r="FD746" s="1466"/>
      <c r="FE746" s="1465" t="str">
        <f t="shared" si="30"/>
        <v/>
      </c>
      <c r="FF746" s="1467"/>
      <c r="FG746" s="1467"/>
      <c r="FH746" s="1467"/>
      <c r="FI746" s="1466"/>
      <c r="FJ746" s="1465" t="str">
        <f t="shared" si="31"/>
        <v/>
      </c>
      <c r="FK746" s="1467"/>
      <c r="FL746" s="1467"/>
      <c r="FM746" s="1467"/>
      <c r="FN746" s="1466"/>
      <c r="FO746" s="1465" t="str">
        <f t="shared" si="32"/>
        <v/>
      </c>
      <c r="FP746" s="1467"/>
      <c r="FQ746" s="1467"/>
      <c r="FR746" s="1467"/>
      <c r="FS746" s="1466"/>
      <c r="FT746" s="1465" t="str">
        <f t="shared" si="33"/>
        <v/>
      </c>
      <c r="FU746" s="1467"/>
      <c r="FV746" s="1467"/>
      <c r="FW746" s="1467"/>
      <c r="FX746" s="1466"/>
      <c r="FY746" s="1465" t="str">
        <f t="shared" si="34"/>
        <v/>
      </c>
      <c r="FZ746" s="1467"/>
      <c r="GA746" s="1467"/>
      <c r="GB746" s="1467"/>
      <c r="GC746" s="1466"/>
    </row>
    <row r="747" spans="1:185" ht="13" customHeight="1">
      <c r="B747" s="1336"/>
      <c r="C747" s="1337"/>
      <c r="D747" s="1337"/>
      <c r="E747" s="1337"/>
      <c r="F747" s="1338"/>
      <c r="G747" s="1349"/>
      <c r="H747" s="1350"/>
      <c r="I747" s="1350"/>
      <c r="J747" s="1351"/>
      <c r="K747" s="1342"/>
      <c r="L747" s="1343"/>
      <c r="M747" s="1343"/>
      <c r="N747" s="1344"/>
      <c r="O747" s="1339"/>
      <c r="P747" s="1340"/>
      <c r="Q747" s="1340"/>
      <c r="R747" s="1340"/>
      <c r="S747" s="1341"/>
      <c r="T747" s="1339"/>
      <c r="U747" s="1340"/>
      <c r="V747" s="1340"/>
      <c r="W747" s="1341"/>
      <c r="X747" s="1352">
        <f t="shared" si="38"/>
        <v>0</v>
      </c>
      <c r="Y747" s="1353"/>
      <c r="Z747" s="1353"/>
      <c r="AA747" s="1353"/>
      <c r="AB747" s="1354"/>
      <c r="AC747" s="1359"/>
      <c r="AD747" s="1360"/>
      <c r="AE747" s="1360"/>
      <c r="AF747" s="1360"/>
      <c r="AG747" s="1361"/>
      <c r="AH747" s="1355" t="str">
        <f t="shared" si="35"/>
        <v/>
      </c>
      <c r="AI747" s="1356"/>
      <c r="AJ747" s="1357"/>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5">
        <f t="shared" si="36"/>
        <v>0</v>
      </c>
      <c r="CH747" s="1466"/>
      <c r="CI747" s="1471">
        <f t="shared" si="37"/>
        <v>0</v>
      </c>
      <c r="CJ747" s="1472"/>
      <c r="CK747" s="1465">
        <f t="shared" si="15"/>
        <v>0</v>
      </c>
      <c r="CL747" s="1466"/>
      <c r="CM747" s="1471">
        <f t="shared" si="16"/>
        <v>0</v>
      </c>
      <c r="CN747" s="1472"/>
      <c r="CO747" s="3"/>
      <c r="CP747" s="1460">
        <f t="shared" si="17"/>
        <v>0</v>
      </c>
      <c r="CQ747" s="1461"/>
      <c r="CR747" s="1461"/>
      <c r="CS747" s="1461"/>
      <c r="CT747" s="1462"/>
      <c r="CU747" s="1444">
        <f t="shared" si="18"/>
        <v>0</v>
      </c>
      <c r="CV747" s="1444"/>
      <c r="CW747" s="1444"/>
      <c r="CX747" s="1444"/>
      <c r="CY747" s="1444"/>
      <c r="CZ747" s="1444">
        <f t="shared" si="19"/>
        <v>0</v>
      </c>
      <c r="DA747" s="1444"/>
      <c r="DB747" s="1444"/>
      <c r="DC747" s="1444"/>
      <c r="DD747" s="1444"/>
      <c r="DE747" s="1444">
        <f t="shared" si="20"/>
        <v>0</v>
      </c>
      <c r="DF747" s="1444"/>
      <c r="DG747" s="1444"/>
      <c r="DH747" s="1444"/>
      <c r="DI747" s="1444"/>
      <c r="DJ747" s="1444">
        <f t="shared" si="21"/>
        <v>0</v>
      </c>
      <c r="DK747" s="1444"/>
      <c r="DL747" s="1444"/>
      <c r="DM747" s="1444"/>
      <c r="DN747" s="1444"/>
      <c r="DO747" s="1444">
        <f t="shared" si="22"/>
        <v>0</v>
      </c>
      <c r="DP747" s="1444"/>
      <c r="DQ747" s="1444"/>
      <c r="DR747" s="1444"/>
      <c r="DS747" s="1444"/>
      <c r="DT747" s="6"/>
      <c r="DU747" s="1445">
        <f t="shared" si="23"/>
        <v>0</v>
      </c>
      <c r="DV747" s="1445"/>
      <c r="DW747" s="1445"/>
      <c r="DX747" s="1445"/>
      <c r="DY747" s="1445"/>
      <c r="DZ747" s="1445">
        <f t="shared" si="24"/>
        <v>0</v>
      </c>
      <c r="EA747" s="1445"/>
      <c r="EB747" s="1445"/>
      <c r="EC747" s="1445"/>
      <c r="ED747" s="1445"/>
      <c r="EE747" s="1445">
        <f t="shared" si="25"/>
        <v>0</v>
      </c>
      <c r="EF747" s="1445"/>
      <c r="EG747" s="1445"/>
      <c r="EH747" s="1445"/>
      <c r="EI747" s="1445"/>
      <c r="EJ747" s="1445">
        <f t="shared" si="26"/>
        <v>0</v>
      </c>
      <c r="EK747" s="1445"/>
      <c r="EL747" s="1445"/>
      <c r="EM747" s="1445"/>
      <c r="EN747" s="1445"/>
      <c r="EO747" s="1445">
        <f t="shared" si="27"/>
        <v>0</v>
      </c>
      <c r="EP747" s="1445"/>
      <c r="EQ747" s="1445"/>
      <c r="ER747" s="1445"/>
      <c r="ES747" s="1445"/>
      <c r="ET747" s="1445">
        <f t="shared" si="28"/>
        <v>0</v>
      </c>
      <c r="EU747" s="1445"/>
      <c r="EV747" s="1445"/>
      <c r="EW747" s="1445"/>
      <c r="EX747" s="1445"/>
      <c r="EZ747" s="1465" t="str">
        <f t="shared" si="29"/>
        <v/>
      </c>
      <c r="FA747" s="1467"/>
      <c r="FB747" s="1467"/>
      <c r="FC747" s="1467"/>
      <c r="FD747" s="1466"/>
      <c r="FE747" s="1465" t="str">
        <f t="shared" si="30"/>
        <v/>
      </c>
      <c r="FF747" s="1467"/>
      <c r="FG747" s="1467"/>
      <c r="FH747" s="1467"/>
      <c r="FI747" s="1466"/>
      <c r="FJ747" s="1465" t="str">
        <f t="shared" si="31"/>
        <v/>
      </c>
      <c r="FK747" s="1467"/>
      <c r="FL747" s="1467"/>
      <c r="FM747" s="1467"/>
      <c r="FN747" s="1466"/>
      <c r="FO747" s="1465" t="str">
        <f t="shared" si="32"/>
        <v/>
      </c>
      <c r="FP747" s="1467"/>
      <c r="FQ747" s="1467"/>
      <c r="FR747" s="1467"/>
      <c r="FS747" s="1466"/>
      <c r="FT747" s="1465" t="str">
        <f t="shared" si="33"/>
        <v/>
      </c>
      <c r="FU747" s="1467"/>
      <c r="FV747" s="1467"/>
      <c r="FW747" s="1467"/>
      <c r="FX747" s="1466"/>
      <c r="FY747" s="1465" t="str">
        <f t="shared" si="34"/>
        <v/>
      </c>
      <c r="FZ747" s="1467"/>
      <c r="GA747" s="1467"/>
      <c r="GB747" s="1467"/>
      <c r="GC747" s="1466"/>
    </row>
    <row r="748" spans="1:185" s="3" customFormat="1" ht="13" customHeight="1">
      <c r="A748"/>
      <c r="B748" s="1336"/>
      <c r="C748" s="1337"/>
      <c r="D748" s="1337"/>
      <c r="E748" s="1337"/>
      <c r="F748" s="1338"/>
      <c r="G748" s="1349"/>
      <c r="H748" s="1350"/>
      <c r="I748" s="1350"/>
      <c r="J748" s="1351"/>
      <c r="K748" s="1342"/>
      <c r="L748" s="1343"/>
      <c r="M748" s="1343"/>
      <c r="N748" s="1344"/>
      <c r="O748" s="1339"/>
      <c r="P748" s="1340"/>
      <c r="Q748" s="1340"/>
      <c r="R748" s="1340"/>
      <c r="S748" s="1341"/>
      <c r="T748" s="1339"/>
      <c r="U748" s="1340"/>
      <c r="V748" s="1340"/>
      <c r="W748" s="1341"/>
      <c r="X748" s="1352">
        <f t="shared" si="38"/>
        <v>0</v>
      </c>
      <c r="Y748" s="1353"/>
      <c r="Z748" s="1353"/>
      <c r="AA748" s="1353"/>
      <c r="AB748" s="1354"/>
      <c r="AC748" s="1359"/>
      <c r="AD748" s="1360"/>
      <c r="AE748" s="1360"/>
      <c r="AF748" s="1360"/>
      <c r="AG748" s="1361"/>
      <c r="AH748" s="1355" t="str">
        <f t="shared" si="35"/>
        <v/>
      </c>
      <c r="AI748" s="1356"/>
      <c r="AJ748" s="1357"/>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5">
        <f t="shared" si="36"/>
        <v>0</v>
      </c>
      <c r="CH748" s="1466"/>
      <c r="CI748" s="1471">
        <f t="shared" si="37"/>
        <v>0</v>
      </c>
      <c r="CJ748" s="1472"/>
      <c r="CK748" s="1465">
        <f t="shared" si="15"/>
        <v>0</v>
      </c>
      <c r="CL748" s="1466"/>
      <c r="CM748" s="1471">
        <f t="shared" si="16"/>
        <v>0</v>
      </c>
      <c r="CN748" s="1472"/>
      <c r="CP748" s="1460">
        <f t="shared" si="17"/>
        <v>0</v>
      </c>
      <c r="CQ748" s="1461"/>
      <c r="CR748" s="1461"/>
      <c r="CS748" s="1461"/>
      <c r="CT748" s="1462"/>
      <c r="CU748" s="1444">
        <f t="shared" si="18"/>
        <v>0</v>
      </c>
      <c r="CV748" s="1444"/>
      <c r="CW748" s="1444"/>
      <c r="CX748" s="1444"/>
      <c r="CY748" s="1444"/>
      <c r="CZ748" s="1444">
        <f t="shared" si="19"/>
        <v>0</v>
      </c>
      <c r="DA748" s="1444"/>
      <c r="DB748" s="1444"/>
      <c r="DC748" s="1444"/>
      <c r="DD748" s="1444"/>
      <c r="DE748" s="1444">
        <f t="shared" si="20"/>
        <v>0</v>
      </c>
      <c r="DF748" s="1444"/>
      <c r="DG748" s="1444"/>
      <c r="DH748" s="1444"/>
      <c r="DI748" s="1444"/>
      <c r="DJ748" s="1444">
        <f t="shared" si="21"/>
        <v>0</v>
      </c>
      <c r="DK748" s="1444"/>
      <c r="DL748" s="1444"/>
      <c r="DM748" s="1444"/>
      <c r="DN748" s="1444"/>
      <c r="DO748" s="1444">
        <f t="shared" si="22"/>
        <v>0</v>
      </c>
      <c r="DP748" s="1444"/>
      <c r="DQ748" s="1444"/>
      <c r="DR748" s="1444"/>
      <c r="DS748" s="1444"/>
      <c r="DT748" s="6"/>
      <c r="DU748" s="1445">
        <f t="shared" si="23"/>
        <v>0</v>
      </c>
      <c r="DV748" s="1445"/>
      <c r="DW748" s="1445"/>
      <c r="DX748" s="1445"/>
      <c r="DY748" s="1445"/>
      <c r="DZ748" s="1445">
        <f t="shared" si="24"/>
        <v>0</v>
      </c>
      <c r="EA748" s="1445"/>
      <c r="EB748" s="1445"/>
      <c r="EC748" s="1445"/>
      <c r="ED748" s="1445"/>
      <c r="EE748" s="1445">
        <f t="shared" si="25"/>
        <v>0</v>
      </c>
      <c r="EF748" s="1445"/>
      <c r="EG748" s="1445"/>
      <c r="EH748" s="1445"/>
      <c r="EI748" s="1445"/>
      <c r="EJ748" s="1445">
        <f t="shared" si="26"/>
        <v>0</v>
      </c>
      <c r="EK748" s="1445"/>
      <c r="EL748" s="1445"/>
      <c r="EM748" s="1445"/>
      <c r="EN748" s="1445"/>
      <c r="EO748" s="1445">
        <f t="shared" si="27"/>
        <v>0</v>
      </c>
      <c r="EP748" s="1445"/>
      <c r="EQ748" s="1445"/>
      <c r="ER748" s="1445"/>
      <c r="ES748" s="1445"/>
      <c r="ET748" s="1445">
        <f t="shared" si="28"/>
        <v>0</v>
      </c>
      <c r="EU748" s="1445"/>
      <c r="EV748" s="1445"/>
      <c r="EW748" s="1445"/>
      <c r="EX748" s="1445"/>
      <c r="EY748"/>
      <c r="EZ748" s="1465" t="str">
        <f t="shared" si="29"/>
        <v/>
      </c>
      <c r="FA748" s="1467"/>
      <c r="FB748" s="1467"/>
      <c r="FC748" s="1467"/>
      <c r="FD748" s="1466"/>
      <c r="FE748" s="1465" t="str">
        <f t="shared" si="30"/>
        <v/>
      </c>
      <c r="FF748" s="1467"/>
      <c r="FG748" s="1467"/>
      <c r="FH748" s="1467"/>
      <c r="FI748" s="1466"/>
      <c r="FJ748" s="1465" t="str">
        <f t="shared" si="31"/>
        <v/>
      </c>
      <c r="FK748" s="1467"/>
      <c r="FL748" s="1467"/>
      <c r="FM748" s="1467"/>
      <c r="FN748" s="1466"/>
      <c r="FO748" s="1465" t="str">
        <f t="shared" si="32"/>
        <v/>
      </c>
      <c r="FP748" s="1467"/>
      <c r="FQ748" s="1467"/>
      <c r="FR748" s="1467"/>
      <c r="FS748" s="1466"/>
      <c r="FT748" s="1465" t="str">
        <f t="shared" si="33"/>
        <v/>
      </c>
      <c r="FU748" s="1467"/>
      <c r="FV748" s="1467"/>
      <c r="FW748" s="1467"/>
      <c r="FX748" s="1466"/>
      <c r="FY748" s="1465" t="str">
        <f t="shared" si="34"/>
        <v/>
      </c>
      <c r="FZ748" s="1467"/>
      <c r="GA748" s="1467"/>
      <c r="GB748" s="1467"/>
      <c r="GC748" s="1466"/>
    </row>
    <row r="749" spans="1:185" s="3" customFormat="1" ht="13" customHeight="1">
      <c r="A749"/>
      <c r="B749" s="1336"/>
      <c r="C749" s="1337"/>
      <c r="D749" s="1337"/>
      <c r="E749" s="1337"/>
      <c r="F749" s="1338"/>
      <c r="G749" s="1349"/>
      <c r="H749" s="1350"/>
      <c r="I749" s="1350"/>
      <c r="J749" s="1351"/>
      <c r="K749" s="1342"/>
      <c r="L749" s="1343"/>
      <c r="M749" s="1343"/>
      <c r="N749" s="1344"/>
      <c r="O749" s="1339"/>
      <c r="P749" s="1340"/>
      <c r="Q749" s="1340"/>
      <c r="R749" s="1340"/>
      <c r="S749" s="1341"/>
      <c r="T749" s="1339"/>
      <c r="U749" s="1340"/>
      <c r="V749" s="1340"/>
      <c r="W749" s="1341"/>
      <c r="X749" s="1352">
        <f t="shared" si="38"/>
        <v>0</v>
      </c>
      <c r="Y749" s="1353"/>
      <c r="Z749" s="1353"/>
      <c r="AA749" s="1353"/>
      <c r="AB749" s="1354"/>
      <c r="AC749" s="1359"/>
      <c r="AD749" s="1360"/>
      <c r="AE749" s="1360"/>
      <c r="AF749" s="1360"/>
      <c r="AG749" s="1361"/>
      <c r="AH749" s="1355" t="str">
        <f t="shared" si="35"/>
        <v/>
      </c>
      <c r="AI749" s="1356"/>
      <c r="AJ749" s="1357"/>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5">
        <f t="shared" si="36"/>
        <v>0</v>
      </c>
      <c r="CH749" s="1466"/>
      <c r="CI749" s="1471">
        <f t="shared" si="37"/>
        <v>0</v>
      </c>
      <c r="CJ749" s="1472"/>
      <c r="CK749" s="1465">
        <f t="shared" si="15"/>
        <v>0</v>
      </c>
      <c r="CL749" s="1466"/>
      <c r="CM749" s="1471">
        <f t="shared" si="16"/>
        <v>0</v>
      </c>
      <c r="CN749" s="1472"/>
      <c r="CP749" s="1460">
        <f t="shared" si="17"/>
        <v>0</v>
      </c>
      <c r="CQ749" s="1461"/>
      <c r="CR749" s="1461"/>
      <c r="CS749" s="1461"/>
      <c r="CT749" s="1462"/>
      <c r="CU749" s="1444">
        <f t="shared" si="18"/>
        <v>0</v>
      </c>
      <c r="CV749" s="1444"/>
      <c r="CW749" s="1444"/>
      <c r="CX749" s="1444"/>
      <c r="CY749" s="1444"/>
      <c r="CZ749" s="1444">
        <f t="shared" si="19"/>
        <v>0</v>
      </c>
      <c r="DA749" s="1444"/>
      <c r="DB749" s="1444"/>
      <c r="DC749" s="1444"/>
      <c r="DD749" s="1444"/>
      <c r="DE749" s="1444">
        <f t="shared" si="20"/>
        <v>0</v>
      </c>
      <c r="DF749" s="1444"/>
      <c r="DG749" s="1444"/>
      <c r="DH749" s="1444"/>
      <c r="DI749" s="1444"/>
      <c r="DJ749" s="1444">
        <f t="shared" si="21"/>
        <v>0</v>
      </c>
      <c r="DK749" s="1444"/>
      <c r="DL749" s="1444"/>
      <c r="DM749" s="1444"/>
      <c r="DN749" s="1444"/>
      <c r="DO749" s="1444">
        <f t="shared" si="22"/>
        <v>0</v>
      </c>
      <c r="DP749" s="1444"/>
      <c r="DQ749" s="1444"/>
      <c r="DR749" s="1444"/>
      <c r="DS749" s="1444"/>
      <c r="DT749" s="6"/>
      <c r="DU749" s="1445">
        <f t="shared" si="23"/>
        <v>0</v>
      </c>
      <c r="DV749" s="1445"/>
      <c r="DW749" s="1445"/>
      <c r="DX749" s="1445"/>
      <c r="DY749" s="1445"/>
      <c r="DZ749" s="1445">
        <f t="shared" si="24"/>
        <v>0</v>
      </c>
      <c r="EA749" s="1445"/>
      <c r="EB749" s="1445"/>
      <c r="EC749" s="1445"/>
      <c r="ED749" s="1445"/>
      <c r="EE749" s="1445">
        <f t="shared" si="25"/>
        <v>0</v>
      </c>
      <c r="EF749" s="1445"/>
      <c r="EG749" s="1445"/>
      <c r="EH749" s="1445"/>
      <c r="EI749" s="1445"/>
      <c r="EJ749" s="1445">
        <f t="shared" si="26"/>
        <v>0</v>
      </c>
      <c r="EK749" s="1445"/>
      <c r="EL749" s="1445"/>
      <c r="EM749" s="1445"/>
      <c r="EN749" s="1445"/>
      <c r="EO749" s="1445">
        <f t="shared" si="27"/>
        <v>0</v>
      </c>
      <c r="EP749" s="1445"/>
      <c r="EQ749" s="1445"/>
      <c r="ER749" s="1445"/>
      <c r="ES749" s="1445"/>
      <c r="ET749" s="1445">
        <f t="shared" si="28"/>
        <v>0</v>
      </c>
      <c r="EU749" s="1445"/>
      <c r="EV749" s="1445"/>
      <c r="EW749" s="1445"/>
      <c r="EX749" s="1445"/>
      <c r="EY749"/>
      <c r="EZ749" s="1465" t="str">
        <f t="shared" si="29"/>
        <v/>
      </c>
      <c r="FA749" s="1467"/>
      <c r="FB749" s="1467"/>
      <c r="FC749" s="1467"/>
      <c r="FD749" s="1466"/>
      <c r="FE749" s="1465" t="str">
        <f t="shared" si="30"/>
        <v/>
      </c>
      <c r="FF749" s="1467"/>
      <c r="FG749" s="1467"/>
      <c r="FH749" s="1467"/>
      <c r="FI749" s="1466"/>
      <c r="FJ749" s="1465" t="str">
        <f t="shared" si="31"/>
        <v/>
      </c>
      <c r="FK749" s="1467"/>
      <c r="FL749" s="1467"/>
      <c r="FM749" s="1467"/>
      <c r="FN749" s="1466"/>
      <c r="FO749" s="1465" t="str">
        <f t="shared" si="32"/>
        <v/>
      </c>
      <c r="FP749" s="1467"/>
      <c r="FQ749" s="1467"/>
      <c r="FR749" s="1467"/>
      <c r="FS749" s="1466"/>
      <c r="FT749" s="1465" t="str">
        <f t="shared" si="33"/>
        <v/>
      </c>
      <c r="FU749" s="1467"/>
      <c r="FV749" s="1467"/>
      <c r="FW749" s="1467"/>
      <c r="FX749" s="1466"/>
      <c r="FY749" s="1465" t="str">
        <f t="shared" si="34"/>
        <v/>
      </c>
      <c r="FZ749" s="1467"/>
      <c r="GA749" s="1467"/>
      <c r="GB749" s="1467"/>
      <c r="GC749" s="1466"/>
    </row>
    <row r="750" spans="1:185" s="3" customFormat="1" ht="13" customHeight="1">
      <c r="A750"/>
      <c r="B750" s="1336"/>
      <c r="C750" s="1337"/>
      <c r="D750" s="1337"/>
      <c r="E750" s="1337"/>
      <c r="F750" s="1338"/>
      <c r="G750" s="1349"/>
      <c r="H750" s="1350"/>
      <c r="I750" s="1350"/>
      <c r="J750" s="1351"/>
      <c r="K750" s="1342"/>
      <c r="L750" s="1343"/>
      <c r="M750" s="1343"/>
      <c r="N750" s="1344"/>
      <c r="O750" s="1339"/>
      <c r="P750" s="1340"/>
      <c r="Q750" s="1340"/>
      <c r="R750" s="1340"/>
      <c r="S750" s="1341"/>
      <c r="T750" s="1339"/>
      <c r="U750" s="1340"/>
      <c r="V750" s="1340"/>
      <c r="W750" s="1341"/>
      <c r="X750" s="1352">
        <f t="shared" si="38"/>
        <v>0</v>
      </c>
      <c r="Y750" s="1353"/>
      <c r="Z750" s="1353"/>
      <c r="AA750" s="1353"/>
      <c r="AB750" s="1354"/>
      <c r="AC750" s="1359"/>
      <c r="AD750" s="1360"/>
      <c r="AE750" s="1360"/>
      <c r="AF750" s="1360"/>
      <c r="AG750" s="1361"/>
      <c r="AH750" s="1355" t="str">
        <f t="shared" si="35"/>
        <v/>
      </c>
      <c r="AI750" s="1356"/>
      <c r="AJ750" s="1357"/>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5">
        <f t="shared" si="36"/>
        <v>0</v>
      </c>
      <c r="CH750" s="1466"/>
      <c r="CI750" s="1471">
        <f t="shared" si="37"/>
        <v>0</v>
      </c>
      <c r="CJ750" s="1472"/>
      <c r="CK750" s="1465">
        <f t="shared" si="15"/>
        <v>0</v>
      </c>
      <c r="CL750" s="1466"/>
      <c r="CM750" s="1471">
        <f t="shared" si="16"/>
        <v>0</v>
      </c>
      <c r="CN750" s="1472"/>
      <c r="CP750" s="1460">
        <f t="shared" si="17"/>
        <v>0</v>
      </c>
      <c r="CQ750" s="1461"/>
      <c r="CR750" s="1461"/>
      <c r="CS750" s="1461"/>
      <c r="CT750" s="1462"/>
      <c r="CU750" s="1444">
        <f t="shared" si="18"/>
        <v>0</v>
      </c>
      <c r="CV750" s="1444"/>
      <c r="CW750" s="1444"/>
      <c r="CX750" s="1444"/>
      <c r="CY750" s="1444"/>
      <c r="CZ750" s="1444">
        <f t="shared" si="19"/>
        <v>0</v>
      </c>
      <c r="DA750" s="1444"/>
      <c r="DB750" s="1444"/>
      <c r="DC750" s="1444"/>
      <c r="DD750" s="1444"/>
      <c r="DE750" s="1444">
        <f t="shared" si="20"/>
        <v>0</v>
      </c>
      <c r="DF750" s="1444"/>
      <c r="DG750" s="1444"/>
      <c r="DH750" s="1444"/>
      <c r="DI750" s="1444"/>
      <c r="DJ750" s="1444">
        <f t="shared" si="21"/>
        <v>0</v>
      </c>
      <c r="DK750" s="1444"/>
      <c r="DL750" s="1444"/>
      <c r="DM750" s="1444"/>
      <c r="DN750" s="1444"/>
      <c r="DO750" s="1444">
        <f t="shared" si="22"/>
        <v>0</v>
      </c>
      <c r="DP750" s="1444"/>
      <c r="DQ750" s="1444"/>
      <c r="DR750" s="1444"/>
      <c r="DS750" s="1444"/>
      <c r="DT750" s="6"/>
      <c r="DU750" s="1445">
        <f t="shared" si="23"/>
        <v>0</v>
      </c>
      <c r="DV750" s="1445"/>
      <c r="DW750" s="1445"/>
      <c r="DX750" s="1445"/>
      <c r="DY750" s="1445"/>
      <c r="DZ750" s="1445">
        <f t="shared" si="24"/>
        <v>0</v>
      </c>
      <c r="EA750" s="1445"/>
      <c r="EB750" s="1445"/>
      <c r="EC750" s="1445"/>
      <c r="ED750" s="1445"/>
      <c r="EE750" s="1445">
        <f t="shared" si="25"/>
        <v>0</v>
      </c>
      <c r="EF750" s="1445"/>
      <c r="EG750" s="1445"/>
      <c r="EH750" s="1445"/>
      <c r="EI750" s="1445"/>
      <c r="EJ750" s="1445">
        <f t="shared" si="26"/>
        <v>0</v>
      </c>
      <c r="EK750" s="1445"/>
      <c r="EL750" s="1445"/>
      <c r="EM750" s="1445"/>
      <c r="EN750" s="1445"/>
      <c r="EO750" s="1445">
        <f t="shared" si="27"/>
        <v>0</v>
      </c>
      <c r="EP750" s="1445"/>
      <c r="EQ750" s="1445"/>
      <c r="ER750" s="1445"/>
      <c r="ES750" s="1445"/>
      <c r="ET750" s="1445">
        <f t="shared" si="28"/>
        <v>0</v>
      </c>
      <c r="EU750" s="1445"/>
      <c r="EV750" s="1445"/>
      <c r="EW750" s="1445"/>
      <c r="EX750" s="1445"/>
      <c r="EY750"/>
      <c r="EZ750" s="1465" t="str">
        <f t="shared" si="29"/>
        <v/>
      </c>
      <c r="FA750" s="1467"/>
      <c r="FB750" s="1467"/>
      <c r="FC750" s="1467"/>
      <c r="FD750" s="1466"/>
      <c r="FE750" s="1465" t="str">
        <f t="shared" si="30"/>
        <v/>
      </c>
      <c r="FF750" s="1467"/>
      <c r="FG750" s="1467"/>
      <c r="FH750" s="1467"/>
      <c r="FI750" s="1466"/>
      <c r="FJ750" s="1465" t="str">
        <f t="shared" si="31"/>
        <v/>
      </c>
      <c r="FK750" s="1467"/>
      <c r="FL750" s="1467"/>
      <c r="FM750" s="1467"/>
      <c r="FN750" s="1466"/>
      <c r="FO750" s="1465" t="str">
        <f t="shared" si="32"/>
        <v/>
      </c>
      <c r="FP750" s="1467"/>
      <c r="FQ750" s="1467"/>
      <c r="FR750" s="1467"/>
      <c r="FS750" s="1466"/>
      <c r="FT750" s="1465" t="str">
        <f t="shared" si="33"/>
        <v/>
      </c>
      <c r="FU750" s="1467"/>
      <c r="FV750" s="1467"/>
      <c r="FW750" s="1467"/>
      <c r="FX750" s="1466"/>
      <c r="FY750" s="1465" t="str">
        <f t="shared" si="34"/>
        <v/>
      </c>
      <c r="FZ750" s="1467"/>
      <c r="GA750" s="1467"/>
      <c r="GB750" s="1467"/>
      <c r="GC750" s="1466"/>
    </row>
    <row r="751" spans="1:185" s="3" customFormat="1" ht="13" customHeight="1">
      <c r="A751"/>
      <c r="B751" s="1336"/>
      <c r="C751" s="1337"/>
      <c r="D751" s="1337"/>
      <c r="E751" s="1337"/>
      <c r="F751" s="1338"/>
      <c r="G751" s="1349"/>
      <c r="H751" s="1350"/>
      <c r="I751" s="1350"/>
      <c r="J751" s="1351"/>
      <c r="K751" s="1342"/>
      <c r="L751" s="1343"/>
      <c r="M751" s="1343"/>
      <c r="N751" s="1344"/>
      <c r="O751" s="1339"/>
      <c r="P751" s="1340"/>
      <c r="Q751" s="1340"/>
      <c r="R751" s="1340"/>
      <c r="S751" s="1341"/>
      <c r="T751" s="1339"/>
      <c r="U751" s="1340"/>
      <c r="V751" s="1340"/>
      <c r="W751" s="1341"/>
      <c r="X751" s="1352">
        <f t="shared" si="38"/>
        <v>0</v>
      </c>
      <c r="Y751" s="1353"/>
      <c r="Z751" s="1353"/>
      <c r="AA751" s="1353"/>
      <c r="AB751" s="1354"/>
      <c r="AC751" s="1359"/>
      <c r="AD751" s="1360"/>
      <c r="AE751" s="1360"/>
      <c r="AF751" s="1360"/>
      <c r="AG751" s="1361"/>
      <c r="AH751" s="1355" t="str">
        <f t="shared" si="35"/>
        <v/>
      </c>
      <c r="AI751" s="1356"/>
      <c r="AJ751" s="1357"/>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5">
        <f t="shared" si="36"/>
        <v>0</v>
      </c>
      <c r="CH751" s="1466"/>
      <c r="CI751" s="1471">
        <f t="shared" si="37"/>
        <v>0</v>
      </c>
      <c r="CJ751" s="1472"/>
      <c r="CK751" s="1465">
        <f t="shared" si="15"/>
        <v>0</v>
      </c>
      <c r="CL751" s="1466"/>
      <c r="CM751" s="1471">
        <f t="shared" si="16"/>
        <v>0</v>
      </c>
      <c r="CN751" s="1472"/>
      <c r="CP751" s="1460">
        <f t="shared" si="17"/>
        <v>0</v>
      </c>
      <c r="CQ751" s="1461"/>
      <c r="CR751" s="1461"/>
      <c r="CS751" s="1461"/>
      <c r="CT751" s="1462"/>
      <c r="CU751" s="1444">
        <f t="shared" si="18"/>
        <v>0</v>
      </c>
      <c r="CV751" s="1444"/>
      <c r="CW751" s="1444"/>
      <c r="CX751" s="1444"/>
      <c r="CY751" s="1444"/>
      <c r="CZ751" s="1444">
        <f t="shared" si="19"/>
        <v>0</v>
      </c>
      <c r="DA751" s="1444"/>
      <c r="DB751" s="1444"/>
      <c r="DC751" s="1444"/>
      <c r="DD751" s="1444"/>
      <c r="DE751" s="1444">
        <f t="shared" si="20"/>
        <v>0</v>
      </c>
      <c r="DF751" s="1444"/>
      <c r="DG751" s="1444"/>
      <c r="DH751" s="1444"/>
      <c r="DI751" s="1444"/>
      <c r="DJ751" s="1444">
        <f t="shared" si="21"/>
        <v>0</v>
      </c>
      <c r="DK751" s="1444"/>
      <c r="DL751" s="1444"/>
      <c r="DM751" s="1444"/>
      <c r="DN751" s="1444"/>
      <c r="DO751" s="1444">
        <f t="shared" si="22"/>
        <v>0</v>
      </c>
      <c r="DP751" s="1444"/>
      <c r="DQ751" s="1444"/>
      <c r="DR751" s="1444"/>
      <c r="DS751" s="1444"/>
      <c r="DT751" s="6"/>
      <c r="DU751" s="1445">
        <f t="shared" si="23"/>
        <v>0</v>
      </c>
      <c r="DV751" s="1445"/>
      <c r="DW751" s="1445"/>
      <c r="DX751" s="1445"/>
      <c r="DY751" s="1445"/>
      <c r="DZ751" s="1445">
        <f t="shared" si="24"/>
        <v>0</v>
      </c>
      <c r="EA751" s="1445"/>
      <c r="EB751" s="1445"/>
      <c r="EC751" s="1445"/>
      <c r="ED751" s="1445"/>
      <c r="EE751" s="1445">
        <f t="shared" si="25"/>
        <v>0</v>
      </c>
      <c r="EF751" s="1445"/>
      <c r="EG751" s="1445"/>
      <c r="EH751" s="1445"/>
      <c r="EI751" s="1445"/>
      <c r="EJ751" s="1445">
        <f t="shared" si="26"/>
        <v>0</v>
      </c>
      <c r="EK751" s="1445"/>
      <c r="EL751" s="1445"/>
      <c r="EM751" s="1445"/>
      <c r="EN751" s="1445"/>
      <c r="EO751" s="1445">
        <f t="shared" si="27"/>
        <v>0</v>
      </c>
      <c r="EP751" s="1445"/>
      <c r="EQ751" s="1445"/>
      <c r="ER751" s="1445"/>
      <c r="ES751" s="1445"/>
      <c r="ET751" s="1445">
        <f t="shared" si="28"/>
        <v>0</v>
      </c>
      <c r="EU751" s="1445"/>
      <c r="EV751" s="1445"/>
      <c r="EW751" s="1445"/>
      <c r="EX751" s="1445"/>
      <c r="EY751"/>
      <c r="EZ751" s="1465" t="str">
        <f t="shared" si="29"/>
        <v/>
      </c>
      <c r="FA751" s="1467"/>
      <c r="FB751" s="1467"/>
      <c r="FC751" s="1467"/>
      <c r="FD751" s="1466"/>
      <c r="FE751" s="1465" t="str">
        <f t="shared" si="30"/>
        <v/>
      </c>
      <c r="FF751" s="1467"/>
      <c r="FG751" s="1467"/>
      <c r="FH751" s="1467"/>
      <c r="FI751" s="1466"/>
      <c r="FJ751" s="1465" t="str">
        <f t="shared" si="31"/>
        <v/>
      </c>
      <c r="FK751" s="1467"/>
      <c r="FL751" s="1467"/>
      <c r="FM751" s="1467"/>
      <c r="FN751" s="1466"/>
      <c r="FO751" s="1465" t="str">
        <f t="shared" si="32"/>
        <v/>
      </c>
      <c r="FP751" s="1467"/>
      <c r="FQ751" s="1467"/>
      <c r="FR751" s="1467"/>
      <c r="FS751" s="1466"/>
      <c r="FT751" s="1465" t="str">
        <f t="shared" si="33"/>
        <v/>
      </c>
      <c r="FU751" s="1467"/>
      <c r="FV751" s="1467"/>
      <c r="FW751" s="1467"/>
      <c r="FX751" s="1466"/>
      <c r="FY751" s="1465" t="str">
        <f t="shared" si="34"/>
        <v/>
      </c>
      <c r="FZ751" s="1467"/>
      <c r="GA751" s="1467"/>
      <c r="GB751" s="1467"/>
      <c r="GC751" s="1466"/>
    </row>
    <row r="752" spans="1:185" s="3" customFormat="1" ht="13" customHeight="1">
      <c r="A752"/>
      <c r="B752" s="1336"/>
      <c r="C752" s="1337"/>
      <c r="D752" s="1337"/>
      <c r="E752" s="1337"/>
      <c r="F752" s="1338"/>
      <c r="G752" s="1349"/>
      <c r="H752" s="1350"/>
      <c r="I752" s="1350"/>
      <c r="J752" s="1351"/>
      <c r="K752" s="1342"/>
      <c r="L752" s="1343"/>
      <c r="M752" s="1343"/>
      <c r="N752" s="1344"/>
      <c r="O752" s="1339"/>
      <c r="P752" s="1340"/>
      <c r="Q752" s="1340"/>
      <c r="R752" s="1340"/>
      <c r="S752" s="1341"/>
      <c r="T752" s="1339"/>
      <c r="U752" s="1340"/>
      <c r="V752" s="1340"/>
      <c r="W752" s="1341"/>
      <c r="X752" s="1352">
        <f>O752+T752</f>
        <v>0</v>
      </c>
      <c r="Y752" s="1353"/>
      <c r="Z752" s="1353"/>
      <c r="AA752" s="1353"/>
      <c r="AB752" s="1354"/>
      <c r="AC752" s="1359"/>
      <c r="AD752" s="1360"/>
      <c r="AE752" s="1360"/>
      <c r="AF752" s="1360"/>
      <c r="AG752" s="1361"/>
      <c r="AH752" s="1355" t="str">
        <f t="shared" si="35"/>
        <v/>
      </c>
      <c r="AI752" s="1356"/>
      <c r="AJ752" s="1357"/>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5">
        <f t="shared" si="36"/>
        <v>0</v>
      </c>
      <c r="CH752" s="1466"/>
      <c r="CI752" s="1471">
        <f t="shared" si="37"/>
        <v>0</v>
      </c>
      <c r="CJ752" s="1472"/>
      <c r="CK752" s="1465">
        <f t="shared" si="15"/>
        <v>0</v>
      </c>
      <c r="CL752" s="1466"/>
      <c r="CM752" s="1471">
        <f t="shared" si="16"/>
        <v>0</v>
      </c>
      <c r="CN752" s="1472"/>
      <c r="CP752" s="1460">
        <f t="shared" si="17"/>
        <v>0</v>
      </c>
      <c r="CQ752" s="1461"/>
      <c r="CR752" s="1461"/>
      <c r="CS752" s="1461"/>
      <c r="CT752" s="1462"/>
      <c r="CU752" s="1444">
        <f t="shared" si="18"/>
        <v>0</v>
      </c>
      <c r="CV752" s="1444"/>
      <c r="CW752" s="1444"/>
      <c r="CX752" s="1444"/>
      <c r="CY752" s="1444"/>
      <c r="CZ752" s="1444">
        <f t="shared" si="19"/>
        <v>0</v>
      </c>
      <c r="DA752" s="1444"/>
      <c r="DB752" s="1444"/>
      <c r="DC752" s="1444"/>
      <c r="DD752" s="1444"/>
      <c r="DE752" s="1444">
        <f t="shared" si="20"/>
        <v>0</v>
      </c>
      <c r="DF752" s="1444"/>
      <c r="DG752" s="1444"/>
      <c r="DH752" s="1444"/>
      <c r="DI752" s="1444"/>
      <c r="DJ752" s="1444">
        <f t="shared" si="21"/>
        <v>0</v>
      </c>
      <c r="DK752" s="1444"/>
      <c r="DL752" s="1444"/>
      <c r="DM752" s="1444"/>
      <c r="DN752" s="1444"/>
      <c r="DO752" s="1444">
        <f t="shared" si="22"/>
        <v>0</v>
      </c>
      <c r="DP752" s="1444"/>
      <c r="DQ752" s="1444"/>
      <c r="DR752" s="1444"/>
      <c r="DS752" s="1444"/>
      <c r="DT752" s="6"/>
      <c r="DU752" s="1445">
        <f t="shared" si="23"/>
        <v>0</v>
      </c>
      <c r="DV752" s="1445"/>
      <c r="DW752" s="1445"/>
      <c r="DX752" s="1445"/>
      <c r="DY752" s="1445"/>
      <c r="DZ752" s="1445">
        <f t="shared" si="24"/>
        <v>0</v>
      </c>
      <c r="EA752" s="1445"/>
      <c r="EB752" s="1445"/>
      <c r="EC752" s="1445"/>
      <c r="ED752" s="1445"/>
      <c r="EE752" s="1445">
        <f t="shared" si="25"/>
        <v>0</v>
      </c>
      <c r="EF752" s="1445"/>
      <c r="EG752" s="1445"/>
      <c r="EH752" s="1445"/>
      <c r="EI752" s="1445"/>
      <c r="EJ752" s="1445">
        <f t="shared" si="26"/>
        <v>0</v>
      </c>
      <c r="EK752" s="1445"/>
      <c r="EL752" s="1445"/>
      <c r="EM752" s="1445"/>
      <c r="EN752" s="1445"/>
      <c r="EO752" s="1445">
        <f t="shared" si="27"/>
        <v>0</v>
      </c>
      <c r="EP752" s="1445"/>
      <c r="EQ752" s="1445"/>
      <c r="ER752" s="1445"/>
      <c r="ES752" s="1445"/>
      <c r="ET752" s="1445">
        <f t="shared" si="28"/>
        <v>0</v>
      </c>
      <c r="EU752" s="1445"/>
      <c r="EV752" s="1445"/>
      <c r="EW752" s="1445"/>
      <c r="EX752" s="1445"/>
      <c r="EY752"/>
      <c r="EZ752" s="1465" t="str">
        <f t="shared" si="29"/>
        <v/>
      </c>
      <c r="FA752" s="1467"/>
      <c r="FB752" s="1467"/>
      <c r="FC752" s="1467"/>
      <c r="FD752" s="1466"/>
      <c r="FE752" s="1465" t="str">
        <f t="shared" si="30"/>
        <v/>
      </c>
      <c r="FF752" s="1467"/>
      <c r="FG752" s="1467"/>
      <c r="FH752" s="1467"/>
      <c r="FI752" s="1466"/>
      <c r="FJ752" s="1465" t="str">
        <f t="shared" si="31"/>
        <v/>
      </c>
      <c r="FK752" s="1467"/>
      <c r="FL752" s="1467"/>
      <c r="FM752" s="1467"/>
      <c r="FN752" s="1466"/>
      <c r="FO752" s="1465" t="str">
        <f t="shared" si="32"/>
        <v/>
      </c>
      <c r="FP752" s="1467"/>
      <c r="FQ752" s="1467"/>
      <c r="FR752" s="1467"/>
      <c r="FS752" s="1466"/>
      <c r="FT752" s="1465" t="str">
        <f t="shared" si="33"/>
        <v/>
      </c>
      <c r="FU752" s="1467"/>
      <c r="FV752" s="1467"/>
      <c r="FW752" s="1467"/>
      <c r="FX752" s="1466"/>
      <c r="FY752" s="1465" t="str">
        <f t="shared" si="34"/>
        <v/>
      </c>
      <c r="FZ752" s="1467"/>
      <c r="GA752" s="1467"/>
      <c r="GB752" s="1467"/>
      <c r="GC752" s="1466"/>
    </row>
    <row r="753" spans="1:185" s="3" customFormat="1" ht="13" customHeight="1">
      <c r="A753"/>
      <c r="B753" s="1450" t="s">
        <v>125</v>
      </c>
      <c r="C753" s="1451"/>
      <c r="D753" s="1451"/>
      <c r="E753" s="1451"/>
      <c r="F753" s="1452"/>
      <c r="G753" s="1622">
        <f>SUM(G718:G752)</f>
        <v>63</v>
      </c>
      <c r="H753" s="1623"/>
      <c r="I753" s="1623"/>
      <c r="J753" s="1624"/>
      <c r="K753" s="903" t="s">
        <v>124</v>
      </c>
      <c r="L753" s="5"/>
      <c r="M753" s="5"/>
      <c r="N753" s="46"/>
      <c r="O753" s="1352">
        <f>SUMPRODUCT(G718:G752,O718:O752)</f>
        <v>50801</v>
      </c>
      <c r="P753" s="1353"/>
      <c r="Q753" s="1353"/>
      <c r="R753" s="1353"/>
      <c r="S753" s="1354"/>
      <c r="T753"/>
      <c r="U753"/>
      <c r="V753"/>
      <c r="W753"/>
      <c r="X753" s="905" t="s">
        <v>900</v>
      </c>
      <c r="Y753" s="904"/>
      <c r="Z753" s="904"/>
      <c r="AA753" s="904"/>
      <c r="AB753" s="906"/>
      <c r="AC753" s="1605">
        <f>BH753</f>
        <v>0.39999999999999991</v>
      </c>
      <c r="AD753" s="1606"/>
      <c r="AE753" s="1606"/>
      <c r="AF753" s="1606"/>
      <c r="AG753" s="1607"/>
      <c r="AH753" s="1605">
        <f>IFERROR(BU753,"")</f>
        <v>0.39997845901153783</v>
      </c>
      <c r="AI753" s="1606"/>
      <c r="AJ753" s="1607"/>
      <c r="AK753"/>
      <c r="AL753"/>
      <c r="AM753"/>
      <c r="AN753"/>
      <c r="AO753"/>
      <c r="AP753" s="206"/>
      <c r="AQ753" s="206"/>
      <c r="AR753" s="206"/>
      <c r="AS753" s="206"/>
      <c r="AT753"/>
      <c r="AU753"/>
      <c r="AV753"/>
      <c r="AW753"/>
      <c r="AX753"/>
      <c r="AY753"/>
      <c r="AZ753" s="34"/>
      <c r="BA753" s="34"/>
      <c r="BB753" s="34"/>
      <c r="BC753" s="34"/>
      <c r="BE753" s="291" t="s">
        <v>899</v>
      </c>
      <c r="BF753" s="300">
        <f>SUM(BF718:BF752)</f>
        <v>63</v>
      </c>
      <c r="BG753" s="301">
        <f>SUM(BG718:BG752)</f>
        <v>1</v>
      </c>
      <c r="BH753" s="301">
        <f>SUM(BH718:BH752)</f>
        <v>0.39999999999999991</v>
      </c>
      <c r="BI753"/>
      <c r="BJ753"/>
      <c r="BK753"/>
      <c r="BL753"/>
      <c r="BO753"/>
      <c r="BP753"/>
      <c r="BQ753"/>
      <c r="BR753"/>
      <c r="BS753" s="860">
        <f>SUM(BS718:BS752)</f>
        <v>63</v>
      </c>
      <c r="BT753" s="301">
        <f>SUM(BT718:BT752)</f>
        <v>1</v>
      </c>
      <c r="BU753" s="301">
        <f>SUM(BU718:BU752)</f>
        <v>0.39997845901153783</v>
      </c>
      <c r="CI753" s="1465">
        <f>SUM(CI718:CJ752)</f>
        <v>49</v>
      </c>
      <c r="CJ753" s="1466"/>
      <c r="CM753" s="1465">
        <f>SUM(CM718:CN752)</f>
        <v>14</v>
      </c>
      <c r="CN753" s="1466"/>
      <c r="CP753" s="1465">
        <f>SUM(CP718:CT752)</f>
        <v>0</v>
      </c>
      <c r="CQ753" s="1467"/>
      <c r="CR753" s="1467"/>
      <c r="CS753" s="1467"/>
      <c r="CT753" s="1466"/>
      <c r="CU753" s="1463">
        <f>SUM(CU718:CY752)</f>
        <v>14</v>
      </c>
      <c r="CV753" s="1463"/>
      <c r="CW753" s="1463"/>
      <c r="CX753" s="1463"/>
      <c r="CY753" s="1463"/>
      <c r="CZ753" s="1463">
        <f>SUM(CZ718:DD752)</f>
        <v>33</v>
      </c>
      <c r="DA753" s="1463"/>
      <c r="DB753" s="1463"/>
      <c r="DC753" s="1463"/>
      <c r="DD753" s="1463"/>
      <c r="DE753" s="1463">
        <f>SUM(DE718:DI752)</f>
        <v>16</v>
      </c>
      <c r="DF753" s="1463"/>
      <c r="DG753" s="1463"/>
      <c r="DH753" s="1463"/>
      <c r="DI753" s="1463"/>
      <c r="DJ753" s="1463">
        <f>SUM(DJ718:DN752)</f>
        <v>0</v>
      </c>
      <c r="DK753" s="1463"/>
      <c r="DL753" s="1463"/>
      <c r="DM753" s="1463"/>
      <c r="DN753" s="1463"/>
      <c r="DO753" s="1463">
        <f>SUM(DO718:DS752)</f>
        <v>0</v>
      </c>
      <c r="DP753" s="1463"/>
      <c r="DQ753" s="1463"/>
      <c r="DR753" s="1463"/>
      <c r="DS753" s="1463"/>
      <c r="DT753" s="355"/>
      <c r="DU753" s="1463">
        <f>SUM(DU718:DY752)</f>
        <v>0</v>
      </c>
      <c r="DV753" s="1463"/>
      <c r="DW753" s="1463"/>
      <c r="DX753" s="1463"/>
      <c r="DY753" s="1463"/>
      <c r="DZ753" s="1463">
        <f>SUM(DZ718:ED752)</f>
        <v>3</v>
      </c>
      <c r="EA753" s="1463"/>
      <c r="EB753" s="1463"/>
      <c r="EC753" s="1463"/>
      <c r="ED753" s="1463"/>
      <c r="EE753" s="1463">
        <f>SUM(EE718:EI752)</f>
        <v>7</v>
      </c>
      <c r="EF753" s="1463"/>
      <c r="EG753" s="1463"/>
      <c r="EH753" s="1463"/>
      <c r="EI753" s="1463"/>
      <c r="EJ753" s="1463">
        <f>SUM(EJ718:EN752)</f>
        <v>4</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2007</v>
      </c>
      <c r="FF753" s="1463"/>
      <c r="FG753" s="1463"/>
      <c r="FH753" s="1463"/>
      <c r="FI753" s="1463"/>
      <c r="FJ753" s="1463">
        <f>SUM(FJ718:FN752)</f>
        <v>2417</v>
      </c>
      <c r="FK753" s="1463"/>
      <c r="FL753" s="1463"/>
      <c r="FM753" s="1463"/>
      <c r="FN753" s="1463"/>
      <c r="FO753" s="1463">
        <f>SUM(FO718:FS752)</f>
        <v>2796</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5">
        <f>CP753+CU753+CZ753+DE753+DJ753+DO753</f>
        <v>63</v>
      </c>
      <c r="DP754" s="1467"/>
      <c r="DQ754" s="1467"/>
      <c r="DR754" s="1467"/>
      <c r="DS754" s="1466"/>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14</v>
      </c>
      <c r="CZ755" s="3"/>
      <c r="DA755" s="3"/>
      <c r="DB755" s="3"/>
      <c r="DC755" s="3"/>
      <c r="DD755" s="862">
        <f>CZ753*2</f>
        <v>66</v>
      </c>
      <c r="DE755" s="3"/>
      <c r="DF755" s="3"/>
      <c r="DG755" s="3"/>
      <c r="DH755" s="3"/>
      <c r="DI755" s="862">
        <f>DE753*3</f>
        <v>48</v>
      </c>
      <c r="DJ755" s="3"/>
      <c r="DK755" s="3"/>
      <c r="DL755" s="3"/>
      <c r="DM755" s="3"/>
      <c r="DN755" s="862">
        <f>DJ753*4</f>
        <v>0</v>
      </c>
      <c r="DO755" s="3"/>
      <c r="DP755" s="3"/>
      <c r="DQ755" s="3"/>
      <c r="DR755" s="3"/>
      <c r="DS755" s="862">
        <f>DO753*5</f>
        <v>0</v>
      </c>
      <c r="DU755" s="862">
        <f>CT755+CY755+DD755+DI755+DN755+DS755</f>
        <v>128</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463">
        <f>DU755</f>
        <v>128</v>
      </c>
      <c r="P756" s="1463"/>
      <c r="Q756" s="1463"/>
      <c r="R756" s="1463"/>
      <c r="S756" s="970"/>
      <c r="T756" s="970"/>
      <c r="U756" s="118" t="s">
        <v>1893</v>
      </c>
      <c r="V756" s="1033"/>
      <c r="W756" s="1033"/>
      <c r="X756" s="1033"/>
      <c r="Y756" s="1034"/>
      <c r="Z756" s="1034"/>
      <c r="AA756" s="1034"/>
      <c r="AB756" s="1034"/>
      <c r="AC756" s="1033"/>
      <c r="AD756" s="1033"/>
      <c r="AE756" s="1033"/>
      <c r="AF756" s="1033"/>
      <c r="AG756" s="1628"/>
      <c r="AH756" s="1628"/>
      <c r="AI756" s="1628"/>
      <c r="AJ756" s="1628"/>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5" t="s">
        <v>591</v>
      </c>
      <c r="AE759" s="1625"/>
      <c r="AF759" s="1625"/>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20" t="s">
        <v>285</v>
      </c>
      <c r="P769" s="1620"/>
      <c r="Q769" s="1620"/>
      <c r="R769" s="1620"/>
      <c r="S769" s="1620"/>
      <c r="T769" s="1720" t="s">
        <v>1679</v>
      </c>
      <c r="U769" s="1721"/>
      <c r="V769" s="1721"/>
      <c r="W769" s="1722"/>
      <c r="X769" s="1362" t="s">
        <v>447</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20"/>
      <c r="P770" s="1620"/>
      <c r="Q770" s="1620"/>
      <c r="R770" s="1620"/>
      <c r="S770" s="1620"/>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20"/>
      <c r="P771" s="1620"/>
      <c r="Q771" s="1620"/>
      <c r="R771" s="1620"/>
      <c r="S771" s="1620"/>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20"/>
      <c r="P772" s="1620"/>
      <c r="Q772" s="1620"/>
      <c r="R772" s="1620"/>
      <c r="S772" s="1620"/>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163</v>
      </c>
      <c r="K773" s="1337"/>
      <c r="L773" s="1337"/>
      <c r="M773" s="1337"/>
      <c r="N773" s="1338"/>
      <c r="O773" s="1614">
        <v>1</v>
      </c>
      <c r="P773" s="1614"/>
      <c r="Q773" s="1614"/>
      <c r="R773" s="1614"/>
      <c r="S773" s="1614"/>
      <c r="T773" s="1342">
        <v>900</v>
      </c>
      <c r="U773" s="1343"/>
      <c r="V773" s="1343"/>
      <c r="W773" s="1344"/>
      <c r="X773" s="1339">
        <v>0</v>
      </c>
      <c r="Y773" s="1340"/>
      <c r="Z773" s="1340"/>
      <c r="AA773" s="1340"/>
      <c r="AB773" s="1341"/>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6"/>
      <c r="K774" s="1337"/>
      <c r="L774" s="1337"/>
      <c r="M774" s="1337"/>
      <c r="N774" s="1338"/>
      <c r="O774" s="1614"/>
      <c r="P774" s="1614"/>
      <c r="Q774" s="1614"/>
      <c r="R774" s="1614"/>
      <c r="S774" s="1614"/>
      <c r="T774" s="1342"/>
      <c r="U774" s="1343"/>
      <c r="V774" s="1343"/>
      <c r="W774" s="1344"/>
      <c r="X774" s="1339"/>
      <c r="Y774" s="1340"/>
      <c r="Z774" s="1340"/>
      <c r="AA774" s="1340"/>
      <c r="AB774" s="1341"/>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6"/>
      <c r="K775" s="1337"/>
      <c r="L775" s="1337"/>
      <c r="M775" s="1337"/>
      <c r="N775" s="1338"/>
      <c r="O775" s="1614"/>
      <c r="P775" s="1614"/>
      <c r="Q775" s="1614"/>
      <c r="R775" s="1614"/>
      <c r="S775" s="1614"/>
      <c r="T775" s="1342"/>
      <c r="U775" s="1343"/>
      <c r="V775" s="1343"/>
      <c r="W775" s="1344"/>
      <c r="X775" s="1339"/>
      <c r="Y775" s="1340"/>
      <c r="Z775" s="1340"/>
      <c r="AA775" s="1340"/>
      <c r="AB775" s="1341"/>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3"/>
    </row>
    <row r="776" spans="1:126" ht="13" customHeight="1">
      <c r="J776" s="1336"/>
      <c r="K776" s="1337"/>
      <c r="L776" s="1337"/>
      <c r="M776" s="1337"/>
      <c r="N776" s="1338"/>
      <c r="O776" s="1614"/>
      <c r="P776" s="1614"/>
      <c r="Q776" s="1614"/>
      <c r="R776" s="1614"/>
      <c r="S776" s="1614"/>
      <c r="T776" s="1342"/>
      <c r="U776" s="1343"/>
      <c r="V776" s="1343"/>
      <c r="W776" s="1344"/>
      <c r="X776" s="1339"/>
      <c r="Y776" s="1340"/>
      <c r="Z776" s="1340"/>
      <c r="AA776" s="1340"/>
      <c r="AB776" s="1341"/>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2">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20" t="s">
        <v>285</v>
      </c>
      <c r="P783" s="1620"/>
      <c r="Q783" s="1620"/>
      <c r="R783" s="1620"/>
      <c r="S783" s="1620"/>
      <c r="T783" s="1720" t="s">
        <v>1679</v>
      </c>
      <c r="U783" s="1721"/>
      <c r="V783" s="1721"/>
      <c r="W783" s="1722"/>
      <c r="X783" s="1362" t="s">
        <v>447</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20"/>
      <c r="P784" s="1620"/>
      <c r="Q784" s="1620"/>
      <c r="R784" s="1620"/>
      <c r="S784" s="1620"/>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20"/>
      <c r="P785" s="1620"/>
      <c r="Q785" s="1620"/>
      <c r="R785" s="1620"/>
      <c r="S785" s="1620"/>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20"/>
      <c r="P786" s="1620"/>
      <c r="Q786" s="1620"/>
      <c r="R786" s="1620"/>
      <c r="S786" s="1620"/>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4"/>
      <c r="P787" s="1614"/>
      <c r="Q787" s="1614"/>
      <c r="R787" s="1614"/>
      <c r="S787" s="1614"/>
      <c r="T787" s="1342"/>
      <c r="U787" s="1343"/>
      <c r="V787" s="1343"/>
      <c r="W787" s="1344"/>
      <c r="X787" s="1339"/>
      <c r="Y787" s="1340"/>
      <c r="Z787" s="1340"/>
      <c r="AA787" s="1340"/>
      <c r="AB787" s="1341"/>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0">IF(J787="SRO/Studio",O787,0)</f>
        <v>0</v>
      </c>
      <c r="CQ787" s="1461"/>
      <c r="CR787" s="1461"/>
      <c r="CS787" s="1461"/>
      <c r="CT787" s="1462"/>
      <c r="CU787" s="1460">
        <f t="shared" ref="CU787:CU796" si="41">IF(J787="1 Bedroom",O787,0)</f>
        <v>0</v>
      </c>
      <c r="CV787" s="1461"/>
      <c r="CW787" s="1461"/>
      <c r="CX787" s="1461"/>
      <c r="CY787" s="1462"/>
      <c r="CZ787" s="1460">
        <f t="shared" ref="CZ787:CZ796" si="42">IF(J787="2 Bedrooms",O787,0)</f>
        <v>0</v>
      </c>
      <c r="DA787" s="1461"/>
      <c r="DB787" s="1461"/>
      <c r="DC787" s="1461"/>
      <c r="DD787" s="1462"/>
      <c r="DE787" s="1460">
        <f t="shared" ref="DE787:DE796" si="43">IF(J787="3 Bedrooms",O787,0)</f>
        <v>0</v>
      </c>
      <c r="DF787" s="1461"/>
      <c r="DG787" s="1461"/>
      <c r="DH787" s="1461"/>
      <c r="DI787" s="1462"/>
      <c r="DJ787" s="1460">
        <f t="shared" ref="DJ787:DJ796" si="44">IF(J787="4 Bedrooms",O787,0)</f>
        <v>0</v>
      </c>
      <c r="DK787" s="1461"/>
      <c r="DL787" s="1461"/>
      <c r="DM787" s="1461"/>
      <c r="DN787" s="1462"/>
      <c r="DO787" s="1460">
        <f t="shared" ref="DO787:DO796" si="45">IF(J787="5 Bedrooms",O787,0)</f>
        <v>0</v>
      </c>
      <c r="DP787" s="1461"/>
      <c r="DQ787" s="1461"/>
      <c r="DR787" s="1461"/>
      <c r="DS787" s="1462"/>
      <c r="DT787" s="6"/>
      <c r="DU787" s="1460">
        <f t="shared" ref="DU787:DU796" si="46">IF(AND(CP787&gt;=1,AH787&gt;=0.1,AH787&lt;=1),O787,0)</f>
        <v>0</v>
      </c>
      <c r="DV787" s="1461"/>
      <c r="DW787" s="1461"/>
      <c r="DX787" s="1461"/>
      <c r="DY787" s="1462"/>
      <c r="DZ787" s="1460">
        <f t="shared" ref="DZ787:DZ796" si="47">IF(AND(CU787&gt;=1,AH787&gt;=0.1,AH787&lt;=1),O787,0)</f>
        <v>0</v>
      </c>
      <c r="EA787" s="1461"/>
      <c r="EB787" s="1461"/>
      <c r="EC787" s="1461"/>
      <c r="ED787" s="1462"/>
      <c r="EE787" s="1460">
        <f t="shared" ref="EE787:EE796" si="48">IF(AND(CZ787&gt;=1,AH787&gt;=0.1,AH787&lt;=1),O787,0)</f>
        <v>0</v>
      </c>
      <c r="EF787" s="1461"/>
      <c r="EG787" s="1461"/>
      <c r="EH787" s="1461"/>
      <c r="EI787" s="1462"/>
      <c r="EJ787" s="1460">
        <f t="shared" ref="EJ787:EJ796" si="49">IF(AND(DE787&gt;=1,AH787&gt;=0.1,AH787&lt;=1),O787,0)</f>
        <v>0</v>
      </c>
      <c r="EK787" s="1461"/>
      <c r="EL787" s="1461"/>
      <c r="EM787" s="1461"/>
      <c r="EN787" s="1462"/>
      <c r="EO787" s="1460">
        <f t="shared" ref="EO787:EO796" si="50">IF(AND(DJ787&gt;=1,AH787&gt;=0.1,AH787&lt;=1),O787,0)</f>
        <v>0</v>
      </c>
      <c r="EP787" s="1461"/>
      <c r="EQ787" s="1461"/>
      <c r="ER787" s="1461"/>
      <c r="ES787" s="1462"/>
      <c r="ET787" s="1460">
        <f t="shared" ref="ET787:ET796" si="51">IF(AND(DO787&gt;=1,AH787&gt;=0.1,AH787&lt;=1),O787,0)</f>
        <v>0</v>
      </c>
      <c r="EU787" s="1461"/>
      <c r="EV787" s="1461"/>
      <c r="EW787" s="1461"/>
      <c r="EX787" s="1462"/>
    </row>
    <row r="788" spans="1:154" s="14" customFormat="1" ht="13" customHeight="1">
      <c r="A788"/>
      <c r="B788"/>
      <c r="C788"/>
      <c r="D788"/>
      <c r="E788"/>
      <c r="F788"/>
      <c r="G788"/>
      <c r="H788"/>
      <c r="I788"/>
      <c r="J788" s="1336"/>
      <c r="K788" s="1337"/>
      <c r="L788" s="1337"/>
      <c r="M788" s="1337"/>
      <c r="N788" s="1338"/>
      <c r="O788" s="1614"/>
      <c r="P788" s="1614"/>
      <c r="Q788" s="1614"/>
      <c r="R788" s="1614"/>
      <c r="S788" s="1614"/>
      <c r="T788" s="1342"/>
      <c r="U788" s="1343"/>
      <c r="V788" s="1343"/>
      <c r="W788" s="1344"/>
      <c r="X788" s="1339"/>
      <c r="Y788" s="1340"/>
      <c r="Z788" s="1340"/>
      <c r="AA788" s="1340"/>
      <c r="AB788" s="1341"/>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0"/>
        <v>0</v>
      </c>
      <c r="CQ788" s="1461"/>
      <c r="CR788" s="1461"/>
      <c r="CS788" s="1461"/>
      <c r="CT788" s="1462"/>
      <c r="CU788" s="1460">
        <f t="shared" si="41"/>
        <v>0</v>
      </c>
      <c r="CV788" s="1461"/>
      <c r="CW788" s="1461"/>
      <c r="CX788" s="1461"/>
      <c r="CY788" s="1462"/>
      <c r="CZ788" s="1460">
        <f t="shared" si="42"/>
        <v>0</v>
      </c>
      <c r="DA788" s="1461"/>
      <c r="DB788" s="1461"/>
      <c r="DC788" s="1461"/>
      <c r="DD788" s="1462"/>
      <c r="DE788" s="1460">
        <f t="shared" si="43"/>
        <v>0</v>
      </c>
      <c r="DF788" s="1461"/>
      <c r="DG788" s="1461"/>
      <c r="DH788" s="1461"/>
      <c r="DI788" s="1462"/>
      <c r="DJ788" s="1460">
        <f t="shared" si="44"/>
        <v>0</v>
      </c>
      <c r="DK788" s="1461"/>
      <c r="DL788" s="1461"/>
      <c r="DM788" s="1461"/>
      <c r="DN788" s="1462"/>
      <c r="DO788" s="1460">
        <f t="shared" si="45"/>
        <v>0</v>
      </c>
      <c r="DP788" s="1461"/>
      <c r="DQ788" s="1461"/>
      <c r="DR788" s="1461"/>
      <c r="DS788" s="1462"/>
      <c r="DT788" s="6"/>
      <c r="DU788" s="1460">
        <f t="shared" si="46"/>
        <v>0</v>
      </c>
      <c r="DV788" s="1461"/>
      <c r="DW788" s="1461"/>
      <c r="DX788" s="1461"/>
      <c r="DY788" s="1462"/>
      <c r="DZ788" s="1460">
        <f t="shared" si="47"/>
        <v>0</v>
      </c>
      <c r="EA788" s="1461"/>
      <c r="EB788" s="1461"/>
      <c r="EC788" s="1461"/>
      <c r="ED788" s="1462"/>
      <c r="EE788" s="1460">
        <f t="shared" si="48"/>
        <v>0</v>
      </c>
      <c r="EF788" s="1461"/>
      <c r="EG788" s="1461"/>
      <c r="EH788" s="1461"/>
      <c r="EI788" s="1462"/>
      <c r="EJ788" s="1460">
        <f t="shared" si="49"/>
        <v>0</v>
      </c>
      <c r="EK788" s="1461"/>
      <c r="EL788" s="1461"/>
      <c r="EM788" s="1461"/>
      <c r="EN788" s="1462"/>
      <c r="EO788" s="1460">
        <f t="shared" si="50"/>
        <v>0</v>
      </c>
      <c r="EP788" s="1461"/>
      <c r="EQ788" s="1461"/>
      <c r="ER788" s="1461"/>
      <c r="ES788" s="1462"/>
      <c r="ET788" s="1460">
        <f t="shared" si="51"/>
        <v>0</v>
      </c>
      <c r="EU788" s="1461"/>
      <c r="EV788" s="1461"/>
      <c r="EW788" s="1461"/>
      <c r="EX788" s="1462"/>
    </row>
    <row r="789" spans="1:154" s="14" customFormat="1" ht="13" customHeight="1">
      <c r="A789"/>
      <c r="B789"/>
      <c r="C789"/>
      <c r="D789"/>
      <c r="E789"/>
      <c r="F789"/>
      <c r="G789"/>
      <c r="H789"/>
      <c r="I789"/>
      <c r="J789" s="1336"/>
      <c r="K789" s="1337"/>
      <c r="L789" s="1337"/>
      <c r="M789" s="1337"/>
      <c r="N789" s="1338"/>
      <c r="O789" s="1614"/>
      <c r="P789" s="1614"/>
      <c r="Q789" s="1614"/>
      <c r="R789" s="1614"/>
      <c r="S789" s="1614"/>
      <c r="T789" s="1342"/>
      <c r="U789" s="1343"/>
      <c r="V789" s="1343"/>
      <c r="W789" s="1344"/>
      <c r="X789" s="1339"/>
      <c r="Y789" s="1340"/>
      <c r="Z789" s="1340"/>
      <c r="AA789" s="1340"/>
      <c r="AB789" s="1341"/>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0"/>
        <v>0</v>
      </c>
      <c r="CQ789" s="1461"/>
      <c r="CR789" s="1461"/>
      <c r="CS789" s="1461"/>
      <c r="CT789" s="1462"/>
      <c r="CU789" s="1460">
        <f t="shared" si="41"/>
        <v>0</v>
      </c>
      <c r="CV789" s="1461"/>
      <c r="CW789" s="1461"/>
      <c r="CX789" s="1461"/>
      <c r="CY789" s="1462"/>
      <c r="CZ789" s="1460">
        <f t="shared" si="42"/>
        <v>0</v>
      </c>
      <c r="DA789" s="1461"/>
      <c r="DB789" s="1461"/>
      <c r="DC789" s="1461"/>
      <c r="DD789" s="1462"/>
      <c r="DE789" s="1460">
        <f t="shared" si="43"/>
        <v>0</v>
      </c>
      <c r="DF789" s="1461"/>
      <c r="DG789" s="1461"/>
      <c r="DH789" s="1461"/>
      <c r="DI789" s="1462"/>
      <c r="DJ789" s="1460">
        <f t="shared" si="44"/>
        <v>0</v>
      </c>
      <c r="DK789" s="1461"/>
      <c r="DL789" s="1461"/>
      <c r="DM789" s="1461"/>
      <c r="DN789" s="1462"/>
      <c r="DO789" s="1460">
        <f t="shared" si="45"/>
        <v>0</v>
      </c>
      <c r="DP789" s="1461"/>
      <c r="DQ789" s="1461"/>
      <c r="DR789" s="1461"/>
      <c r="DS789" s="1462"/>
      <c r="DT789" s="6"/>
      <c r="DU789" s="1460">
        <f t="shared" si="46"/>
        <v>0</v>
      </c>
      <c r="DV789" s="1461"/>
      <c r="DW789" s="1461"/>
      <c r="DX789" s="1461"/>
      <c r="DY789" s="1462"/>
      <c r="DZ789" s="1460">
        <f t="shared" si="47"/>
        <v>0</v>
      </c>
      <c r="EA789" s="1461"/>
      <c r="EB789" s="1461"/>
      <c r="EC789" s="1461"/>
      <c r="ED789" s="1462"/>
      <c r="EE789" s="1460">
        <f t="shared" si="48"/>
        <v>0</v>
      </c>
      <c r="EF789" s="1461"/>
      <c r="EG789" s="1461"/>
      <c r="EH789" s="1461"/>
      <c r="EI789" s="1462"/>
      <c r="EJ789" s="1460">
        <f t="shared" si="49"/>
        <v>0</v>
      </c>
      <c r="EK789" s="1461"/>
      <c r="EL789" s="1461"/>
      <c r="EM789" s="1461"/>
      <c r="EN789" s="1462"/>
      <c r="EO789" s="1460">
        <f t="shared" si="50"/>
        <v>0</v>
      </c>
      <c r="EP789" s="1461"/>
      <c r="EQ789" s="1461"/>
      <c r="ER789" s="1461"/>
      <c r="ES789" s="1462"/>
      <c r="ET789" s="1460">
        <f t="shared" si="51"/>
        <v>0</v>
      </c>
      <c r="EU789" s="1461"/>
      <c r="EV789" s="1461"/>
      <c r="EW789" s="1461"/>
      <c r="EX789" s="1462"/>
    </row>
    <row r="790" spans="1:154" s="14" customFormat="1" ht="13" customHeight="1">
      <c r="A790"/>
      <c r="B790"/>
      <c r="C790"/>
      <c r="D790"/>
      <c r="E790"/>
      <c r="F790"/>
      <c r="G790"/>
      <c r="H790"/>
      <c r="I790"/>
      <c r="J790" s="1336"/>
      <c r="K790" s="1337"/>
      <c r="L790" s="1337"/>
      <c r="M790" s="1337"/>
      <c r="N790" s="1338"/>
      <c r="O790" s="1614"/>
      <c r="P790" s="1614"/>
      <c r="Q790" s="1614"/>
      <c r="R790" s="1614"/>
      <c r="S790" s="1614"/>
      <c r="T790" s="1342"/>
      <c r="U790" s="1343"/>
      <c r="V790" s="1343"/>
      <c r="W790" s="1344"/>
      <c r="X790" s="1339"/>
      <c r="Y790" s="1340"/>
      <c r="Z790" s="1340"/>
      <c r="AA790" s="1340"/>
      <c r="AB790" s="1341"/>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0"/>
        <v>0</v>
      </c>
      <c r="CQ790" s="1461"/>
      <c r="CR790" s="1461"/>
      <c r="CS790" s="1461"/>
      <c r="CT790" s="1462"/>
      <c r="CU790" s="1460">
        <f t="shared" si="41"/>
        <v>0</v>
      </c>
      <c r="CV790" s="1461"/>
      <c r="CW790" s="1461"/>
      <c r="CX790" s="1461"/>
      <c r="CY790" s="1462"/>
      <c r="CZ790" s="1460">
        <f t="shared" si="42"/>
        <v>0</v>
      </c>
      <c r="DA790" s="1461"/>
      <c r="DB790" s="1461"/>
      <c r="DC790" s="1461"/>
      <c r="DD790" s="1462"/>
      <c r="DE790" s="1460">
        <f t="shared" si="43"/>
        <v>0</v>
      </c>
      <c r="DF790" s="1461"/>
      <c r="DG790" s="1461"/>
      <c r="DH790" s="1461"/>
      <c r="DI790" s="1462"/>
      <c r="DJ790" s="1460">
        <f t="shared" si="44"/>
        <v>0</v>
      </c>
      <c r="DK790" s="1461"/>
      <c r="DL790" s="1461"/>
      <c r="DM790" s="1461"/>
      <c r="DN790" s="1462"/>
      <c r="DO790" s="1460">
        <f t="shared" si="45"/>
        <v>0</v>
      </c>
      <c r="DP790" s="1461"/>
      <c r="DQ790" s="1461"/>
      <c r="DR790" s="1461"/>
      <c r="DS790" s="1462"/>
      <c r="DT790" s="6"/>
      <c r="DU790" s="1460">
        <f t="shared" si="46"/>
        <v>0</v>
      </c>
      <c r="DV790" s="1461"/>
      <c r="DW790" s="1461"/>
      <c r="DX790" s="1461"/>
      <c r="DY790" s="1462"/>
      <c r="DZ790" s="1460">
        <f t="shared" si="47"/>
        <v>0</v>
      </c>
      <c r="EA790" s="1461"/>
      <c r="EB790" s="1461"/>
      <c r="EC790" s="1461"/>
      <c r="ED790" s="1462"/>
      <c r="EE790" s="1460">
        <f t="shared" si="48"/>
        <v>0</v>
      </c>
      <c r="EF790" s="1461"/>
      <c r="EG790" s="1461"/>
      <c r="EH790" s="1461"/>
      <c r="EI790" s="1462"/>
      <c r="EJ790" s="1460">
        <f t="shared" si="49"/>
        <v>0</v>
      </c>
      <c r="EK790" s="1461"/>
      <c r="EL790" s="1461"/>
      <c r="EM790" s="1461"/>
      <c r="EN790" s="1462"/>
      <c r="EO790" s="1460">
        <f t="shared" si="50"/>
        <v>0</v>
      </c>
      <c r="EP790" s="1461"/>
      <c r="EQ790" s="1461"/>
      <c r="ER790" s="1461"/>
      <c r="ES790" s="1462"/>
      <c r="ET790" s="1460">
        <f t="shared" si="51"/>
        <v>0</v>
      </c>
      <c r="EU790" s="1461"/>
      <c r="EV790" s="1461"/>
      <c r="EW790" s="1461"/>
      <c r="EX790" s="1462"/>
    </row>
    <row r="791" spans="1:154" s="14" customFormat="1" ht="13" customHeight="1">
      <c r="A791"/>
      <c r="B791"/>
      <c r="C791"/>
      <c r="D791"/>
      <c r="E791"/>
      <c r="F791"/>
      <c r="G791"/>
      <c r="H791"/>
      <c r="I791"/>
      <c r="J791" s="1336"/>
      <c r="K791" s="1337"/>
      <c r="L791" s="1337"/>
      <c r="M791" s="1337"/>
      <c r="N791" s="1338"/>
      <c r="O791" s="1614"/>
      <c r="P791" s="1614"/>
      <c r="Q791" s="1614"/>
      <c r="R791" s="1614"/>
      <c r="S791" s="1614"/>
      <c r="T791" s="1342"/>
      <c r="U791" s="1343"/>
      <c r="V791" s="1343"/>
      <c r="W791" s="1344"/>
      <c r="X791" s="1339"/>
      <c r="Y791" s="1340"/>
      <c r="Z791" s="1340"/>
      <c r="AA791" s="1340"/>
      <c r="AB791" s="1341"/>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0"/>
        <v>0</v>
      </c>
      <c r="CQ791" s="1461"/>
      <c r="CR791" s="1461"/>
      <c r="CS791" s="1461"/>
      <c r="CT791" s="1462"/>
      <c r="CU791" s="1460">
        <f t="shared" si="41"/>
        <v>0</v>
      </c>
      <c r="CV791" s="1461"/>
      <c r="CW791" s="1461"/>
      <c r="CX791" s="1461"/>
      <c r="CY791" s="1462"/>
      <c r="CZ791" s="1460">
        <f t="shared" si="42"/>
        <v>0</v>
      </c>
      <c r="DA791" s="1461"/>
      <c r="DB791" s="1461"/>
      <c r="DC791" s="1461"/>
      <c r="DD791" s="1462"/>
      <c r="DE791" s="1460">
        <f t="shared" si="43"/>
        <v>0</v>
      </c>
      <c r="DF791" s="1461"/>
      <c r="DG791" s="1461"/>
      <c r="DH791" s="1461"/>
      <c r="DI791" s="1462"/>
      <c r="DJ791" s="1460">
        <f t="shared" si="44"/>
        <v>0</v>
      </c>
      <c r="DK791" s="1461"/>
      <c r="DL791" s="1461"/>
      <c r="DM791" s="1461"/>
      <c r="DN791" s="1462"/>
      <c r="DO791" s="1460">
        <f t="shared" si="45"/>
        <v>0</v>
      </c>
      <c r="DP791" s="1461"/>
      <c r="DQ791" s="1461"/>
      <c r="DR791" s="1461"/>
      <c r="DS791" s="1462"/>
      <c r="DT791" s="6"/>
      <c r="DU791" s="1460">
        <f t="shared" si="46"/>
        <v>0</v>
      </c>
      <c r="DV791" s="1461"/>
      <c r="DW791" s="1461"/>
      <c r="DX791" s="1461"/>
      <c r="DY791" s="1462"/>
      <c r="DZ791" s="1460">
        <f t="shared" si="47"/>
        <v>0</v>
      </c>
      <c r="EA791" s="1461"/>
      <c r="EB791" s="1461"/>
      <c r="EC791" s="1461"/>
      <c r="ED791" s="1462"/>
      <c r="EE791" s="1460">
        <f t="shared" si="48"/>
        <v>0</v>
      </c>
      <c r="EF791" s="1461"/>
      <c r="EG791" s="1461"/>
      <c r="EH791" s="1461"/>
      <c r="EI791" s="1462"/>
      <c r="EJ791" s="1460">
        <f t="shared" si="49"/>
        <v>0</v>
      </c>
      <c r="EK791" s="1461"/>
      <c r="EL791" s="1461"/>
      <c r="EM791" s="1461"/>
      <c r="EN791" s="1462"/>
      <c r="EO791" s="1460">
        <f t="shared" si="50"/>
        <v>0</v>
      </c>
      <c r="EP791" s="1461"/>
      <c r="EQ791" s="1461"/>
      <c r="ER791" s="1461"/>
      <c r="ES791" s="1462"/>
      <c r="ET791" s="1460">
        <f t="shared" si="51"/>
        <v>0</v>
      </c>
      <c r="EU791" s="1461"/>
      <c r="EV791" s="1461"/>
      <c r="EW791" s="1461"/>
      <c r="EX791" s="1462"/>
    </row>
    <row r="792" spans="1:154" s="14" customFormat="1" ht="13" customHeight="1">
      <c r="A792"/>
      <c r="B792"/>
      <c r="C792"/>
      <c r="D792"/>
      <c r="E792"/>
      <c r="F792"/>
      <c r="G792"/>
      <c r="H792"/>
      <c r="I792"/>
      <c r="J792" s="1336"/>
      <c r="K792" s="1337"/>
      <c r="L792" s="1337"/>
      <c r="M792" s="1337"/>
      <c r="N792" s="1338"/>
      <c r="O792" s="1614"/>
      <c r="P792" s="1614"/>
      <c r="Q792" s="1614"/>
      <c r="R792" s="1614"/>
      <c r="S792" s="1614"/>
      <c r="T792" s="1342"/>
      <c r="U792" s="1343"/>
      <c r="V792" s="1343"/>
      <c r="W792" s="1344"/>
      <c r="X792" s="1339"/>
      <c r="Y792" s="1340"/>
      <c r="Z792" s="1340"/>
      <c r="AA792" s="1340"/>
      <c r="AB792" s="1341"/>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0"/>
        <v>0</v>
      </c>
      <c r="CQ792" s="1461"/>
      <c r="CR792" s="1461"/>
      <c r="CS792" s="1461"/>
      <c r="CT792" s="1462"/>
      <c r="CU792" s="1460">
        <f t="shared" si="41"/>
        <v>0</v>
      </c>
      <c r="CV792" s="1461"/>
      <c r="CW792" s="1461"/>
      <c r="CX792" s="1461"/>
      <c r="CY792" s="1462"/>
      <c r="CZ792" s="1460">
        <f t="shared" si="42"/>
        <v>0</v>
      </c>
      <c r="DA792" s="1461"/>
      <c r="DB792" s="1461"/>
      <c r="DC792" s="1461"/>
      <c r="DD792" s="1462"/>
      <c r="DE792" s="1460">
        <f t="shared" si="43"/>
        <v>0</v>
      </c>
      <c r="DF792" s="1461"/>
      <c r="DG792" s="1461"/>
      <c r="DH792" s="1461"/>
      <c r="DI792" s="1462"/>
      <c r="DJ792" s="1460">
        <f t="shared" si="44"/>
        <v>0</v>
      </c>
      <c r="DK792" s="1461"/>
      <c r="DL792" s="1461"/>
      <c r="DM792" s="1461"/>
      <c r="DN792" s="1462"/>
      <c r="DO792" s="1460">
        <f t="shared" si="45"/>
        <v>0</v>
      </c>
      <c r="DP792" s="1461"/>
      <c r="DQ792" s="1461"/>
      <c r="DR792" s="1461"/>
      <c r="DS792" s="1462"/>
      <c r="DT792" s="6"/>
      <c r="DU792" s="1460">
        <f t="shared" si="46"/>
        <v>0</v>
      </c>
      <c r="DV792" s="1461"/>
      <c r="DW792" s="1461"/>
      <c r="DX792" s="1461"/>
      <c r="DY792" s="1462"/>
      <c r="DZ792" s="1460">
        <f t="shared" si="47"/>
        <v>0</v>
      </c>
      <c r="EA792" s="1461"/>
      <c r="EB792" s="1461"/>
      <c r="EC792" s="1461"/>
      <c r="ED792" s="1462"/>
      <c r="EE792" s="1460">
        <f t="shared" si="48"/>
        <v>0</v>
      </c>
      <c r="EF792" s="1461"/>
      <c r="EG792" s="1461"/>
      <c r="EH792" s="1461"/>
      <c r="EI792" s="1462"/>
      <c r="EJ792" s="1460">
        <f t="shared" si="49"/>
        <v>0</v>
      </c>
      <c r="EK792" s="1461"/>
      <c r="EL792" s="1461"/>
      <c r="EM792" s="1461"/>
      <c r="EN792" s="1462"/>
      <c r="EO792" s="1460">
        <f t="shared" si="50"/>
        <v>0</v>
      </c>
      <c r="EP792" s="1461"/>
      <c r="EQ792" s="1461"/>
      <c r="ER792" s="1461"/>
      <c r="ES792" s="1462"/>
      <c r="ET792" s="1460">
        <f t="shared" si="51"/>
        <v>0</v>
      </c>
      <c r="EU792" s="1461"/>
      <c r="EV792" s="1461"/>
      <c r="EW792" s="1461"/>
      <c r="EX792" s="1462"/>
    </row>
    <row r="793" spans="1:154" s="14" customFormat="1" ht="13" customHeight="1">
      <c r="A793"/>
      <c r="B793"/>
      <c r="C793"/>
      <c r="D793"/>
      <c r="E793"/>
      <c r="F793"/>
      <c r="G793"/>
      <c r="H793"/>
      <c r="I793"/>
      <c r="J793" s="1336"/>
      <c r="K793" s="1337"/>
      <c r="L793" s="1337"/>
      <c r="M793" s="1337"/>
      <c r="N793" s="1338"/>
      <c r="O793" s="1614"/>
      <c r="P793" s="1614"/>
      <c r="Q793" s="1614"/>
      <c r="R793" s="1614"/>
      <c r="S793" s="1614"/>
      <c r="T793" s="1342"/>
      <c r="U793" s="1343"/>
      <c r="V793" s="1343"/>
      <c r="W793" s="1344"/>
      <c r="X793" s="1339"/>
      <c r="Y793" s="1340"/>
      <c r="Z793" s="1340"/>
      <c r="AA793" s="1340"/>
      <c r="AB793" s="1341"/>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0"/>
        <v>0</v>
      </c>
      <c r="CQ793" s="1461"/>
      <c r="CR793" s="1461"/>
      <c r="CS793" s="1461"/>
      <c r="CT793" s="1462"/>
      <c r="CU793" s="1460">
        <f t="shared" si="41"/>
        <v>0</v>
      </c>
      <c r="CV793" s="1461"/>
      <c r="CW793" s="1461"/>
      <c r="CX793" s="1461"/>
      <c r="CY793" s="1462"/>
      <c r="CZ793" s="1460">
        <f t="shared" si="42"/>
        <v>0</v>
      </c>
      <c r="DA793" s="1461"/>
      <c r="DB793" s="1461"/>
      <c r="DC793" s="1461"/>
      <c r="DD793" s="1462"/>
      <c r="DE793" s="1460">
        <f t="shared" si="43"/>
        <v>0</v>
      </c>
      <c r="DF793" s="1461"/>
      <c r="DG793" s="1461"/>
      <c r="DH793" s="1461"/>
      <c r="DI793" s="1462"/>
      <c r="DJ793" s="1460">
        <f t="shared" si="44"/>
        <v>0</v>
      </c>
      <c r="DK793" s="1461"/>
      <c r="DL793" s="1461"/>
      <c r="DM793" s="1461"/>
      <c r="DN793" s="1462"/>
      <c r="DO793" s="1460">
        <f t="shared" si="45"/>
        <v>0</v>
      </c>
      <c r="DP793" s="1461"/>
      <c r="DQ793" s="1461"/>
      <c r="DR793" s="1461"/>
      <c r="DS793" s="1462"/>
      <c r="DT793" s="6"/>
      <c r="DU793" s="1460">
        <f t="shared" si="46"/>
        <v>0</v>
      </c>
      <c r="DV793" s="1461"/>
      <c r="DW793" s="1461"/>
      <c r="DX793" s="1461"/>
      <c r="DY793" s="1462"/>
      <c r="DZ793" s="1460">
        <f t="shared" si="47"/>
        <v>0</v>
      </c>
      <c r="EA793" s="1461"/>
      <c r="EB793" s="1461"/>
      <c r="EC793" s="1461"/>
      <c r="ED793" s="1462"/>
      <c r="EE793" s="1460">
        <f t="shared" si="48"/>
        <v>0</v>
      </c>
      <c r="EF793" s="1461"/>
      <c r="EG793" s="1461"/>
      <c r="EH793" s="1461"/>
      <c r="EI793" s="1462"/>
      <c r="EJ793" s="1460">
        <f t="shared" si="49"/>
        <v>0</v>
      </c>
      <c r="EK793" s="1461"/>
      <c r="EL793" s="1461"/>
      <c r="EM793" s="1461"/>
      <c r="EN793" s="1462"/>
      <c r="EO793" s="1460">
        <f t="shared" si="50"/>
        <v>0</v>
      </c>
      <c r="EP793" s="1461"/>
      <c r="EQ793" s="1461"/>
      <c r="ER793" s="1461"/>
      <c r="ES793" s="1462"/>
      <c r="ET793" s="1460">
        <f t="shared" si="51"/>
        <v>0</v>
      </c>
      <c r="EU793" s="1461"/>
      <c r="EV793" s="1461"/>
      <c r="EW793" s="1461"/>
      <c r="EX793" s="1462"/>
    </row>
    <row r="794" spans="1:154" s="14" customFormat="1" ht="13" customHeight="1">
      <c r="A794"/>
      <c r="B794"/>
      <c r="C794"/>
      <c r="D794"/>
      <c r="E794"/>
      <c r="F794"/>
      <c r="G794"/>
      <c r="H794"/>
      <c r="I794"/>
      <c r="J794" s="1336"/>
      <c r="K794" s="1337"/>
      <c r="L794" s="1337"/>
      <c r="M794" s="1337"/>
      <c r="N794" s="1338"/>
      <c r="O794" s="1614"/>
      <c r="P794" s="1614"/>
      <c r="Q794" s="1614"/>
      <c r="R794" s="1614"/>
      <c r="S794" s="1614"/>
      <c r="T794" s="1342"/>
      <c r="U794" s="1343"/>
      <c r="V794" s="1343"/>
      <c r="W794" s="1344"/>
      <c r="X794" s="1339"/>
      <c r="Y794" s="1340"/>
      <c r="Z794" s="1340"/>
      <c r="AA794" s="1340"/>
      <c r="AB794" s="1341"/>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0"/>
        <v>0</v>
      </c>
      <c r="CQ794" s="1461"/>
      <c r="CR794" s="1461"/>
      <c r="CS794" s="1461"/>
      <c r="CT794" s="1462"/>
      <c r="CU794" s="1460">
        <f t="shared" si="41"/>
        <v>0</v>
      </c>
      <c r="CV794" s="1461"/>
      <c r="CW794" s="1461"/>
      <c r="CX794" s="1461"/>
      <c r="CY794" s="1462"/>
      <c r="CZ794" s="1460">
        <f t="shared" si="42"/>
        <v>0</v>
      </c>
      <c r="DA794" s="1461"/>
      <c r="DB794" s="1461"/>
      <c r="DC794" s="1461"/>
      <c r="DD794" s="1462"/>
      <c r="DE794" s="1460">
        <f t="shared" si="43"/>
        <v>0</v>
      </c>
      <c r="DF794" s="1461"/>
      <c r="DG794" s="1461"/>
      <c r="DH794" s="1461"/>
      <c r="DI794" s="1462"/>
      <c r="DJ794" s="1460">
        <f t="shared" si="44"/>
        <v>0</v>
      </c>
      <c r="DK794" s="1461"/>
      <c r="DL794" s="1461"/>
      <c r="DM794" s="1461"/>
      <c r="DN794" s="1462"/>
      <c r="DO794" s="1460">
        <f t="shared" si="45"/>
        <v>0</v>
      </c>
      <c r="DP794" s="1461"/>
      <c r="DQ794" s="1461"/>
      <c r="DR794" s="1461"/>
      <c r="DS794" s="1462"/>
      <c r="DT794" s="6"/>
      <c r="DU794" s="1460">
        <f t="shared" si="46"/>
        <v>0</v>
      </c>
      <c r="DV794" s="1461"/>
      <c r="DW794" s="1461"/>
      <c r="DX794" s="1461"/>
      <c r="DY794" s="1462"/>
      <c r="DZ794" s="1460">
        <f t="shared" si="47"/>
        <v>0</v>
      </c>
      <c r="EA794" s="1461"/>
      <c r="EB794" s="1461"/>
      <c r="EC794" s="1461"/>
      <c r="ED794" s="1462"/>
      <c r="EE794" s="1460">
        <f t="shared" si="48"/>
        <v>0</v>
      </c>
      <c r="EF794" s="1461"/>
      <c r="EG794" s="1461"/>
      <c r="EH794" s="1461"/>
      <c r="EI794" s="1462"/>
      <c r="EJ794" s="1460">
        <f t="shared" si="49"/>
        <v>0</v>
      </c>
      <c r="EK794" s="1461"/>
      <c r="EL794" s="1461"/>
      <c r="EM794" s="1461"/>
      <c r="EN794" s="1462"/>
      <c r="EO794" s="1460">
        <f t="shared" si="50"/>
        <v>0</v>
      </c>
      <c r="EP794" s="1461"/>
      <c r="EQ794" s="1461"/>
      <c r="ER794" s="1461"/>
      <c r="ES794" s="1462"/>
      <c r="ET794" s="1460">
        <f t="shared" si="51"/>
        <v>0</v>
      </c>
      <c r="EU794" s="1461"/>
      <c r="EV794" s="1461"/>
      <c r="EW794" s="1461"/>
      <c r="EX794" s="1462"/>
    </row>
    <row r="795" spans="1:154" s="14" customFormat="1" ht="13" customHeight="1">
      <c r="A795"/>
      <c r="B795"/>
      <c r="C795"/>
      <c r="D795"/>
      <c r="E795"/>
      <c r="F795"/>
      <c r="G795"/>
      <c r="H795"/>
      <c r="I795"/>
      <c r="J795" s="1336"/>
      <c r="K795" s="1337"/>
      <c r="L795" s="1337"/>
      <c r="M795" s="1337"/>
      <c r="N795" s="1338"/>
      <c r="O795" s="1614"/>
      <c r="P795" s="1614"/>
      <c r="Q795" s="1614"/>
      <c r="R795" s="1614"/>
      <c r="S795" s="1614"/>
      <c r="T795" s="1342"/>
      <c r="U795" s="1343"/>
      <c r="V795" s="1343"/>
      <c r="W795" s="1344"/>
      <c r="X795" s="1339"/>
      <c r="Y795" s="1340"/>
      <c r="Z795" s="1340"/>
      <c r="AA795" s="1340"/>
      <c r="AB795" s="1341"/>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0"/>
        <v>0</v>
      </c>
      <c r="CQ795" s="1461"/>
      <c r="CR795" s="1461"/>
      <c r="CS795" s="1461"/>
      <c r="CT795" s="1462"/>
      <c r="CU795" s="1460">
        <f t="shared" si="41"/>
        <v>0</v>
      </c>
      <c r="CV795" s="1461"/>
      <c r="CW795" s="1461"/>
      <c r="CX795" s="1461"/>
      <c r="CY795" s="1462"/>
      <c r="CZ795" s="1460">
        <f t="shared" si="42"/>
        <v>0</v>
      </c>
      <c r="DA795" s="1461"/>
      <c r="DB795" s="1461"/>
      <c r="DC795" s="1461"/>
      <c r="DD795" s="1462"/>
      <c r="DE795" s="1460">
        <f t="shared" si="43"/>
        <v>0</v>
      </c>
      <c r="DF795" s="1461"/>
      <c r="DG795" s="1461"/>
      <c r="DH795" s="1461"/>
      <c r="DI795" s="1462"/>
      <c r="DJ795" s="1460">
        <f t="shared" si="44"/>
        <v>0</v>
      </c>
      <c r="DK795" s="1461"/>
      <c r="DL795" s="1461"/>
      <c r="DM795" s="1461"/>
      <c r="DN795" s="1462"/>
      <c r="DO795" s="1460">
        <f t="shared" si="45"/>
        <v>0</v>
      </c>
      <c r="DP795" s="1461"/>
      <c r="DQ795" s="1461"/>
      <c r="DR795" s="1461"/>
      <c r="DS795" s="1462"/>
      <c r="DT795" s="6"/>
      <c r="DU795" s="1460">
        <f t="shared" si="46"/>
        <v>0</v>
      </c>
      <c r="DV795" s="1461"/>
      <c r="DW795" s="1461"/>
      <c r="DX795" s="1461"/>
      <c r="DY795" s="1462"/>
      <c r="DZ795" s="1460">
        <f t="shared" si="47"/>
        <v>0</v>
      </c>
      <c r="EA795" s="1461"/>
      <c r="EB795" s="1461"/>
      <c r="EC795" s="1461"/>
      <c r="ED795" s="1462"/>
      <c r="EE795" s="1460">
        <f t="shared" si="48"/>
        <v>0</v>
      </c>
      <c r="EF795" s="1461"/>
      <c r="EG795" s="1461"/>
      <c r="EH795" s="1461"/>
      <c r="EI795" s="1462"/>
      <c r="EJ795" s="1460">
        <f t="shared" si="49"/>
        <v>0</v>
      </c>
      <c r="EK795" s="1461"/>
      <c r="EL795" s="1461"/>
      <c r="EM795" s="1461"/>
      <c r="EN795" s="1462"/>
      <c r="EO795" s="1460">
        <f t="shared" si="50"/>
        <v>0</v>
      </c>
      <c r="EP795" s="1461"/>
      <c r="EQ795" s="1461"/>
      <c r="ER795" s="1461"/>
      <c r="ES795" s="1462"/>
      <c r="ET795" s="1460">
        <f t="shared" si="51"/>
        <v>0</v>
      </c>
      <c r="EU795" s="1461"/>
      <c r="EV795" s="1461"/>
      <c r="EW795" s="1461"/>
      <c r="EX795" s="1462"/>
    </row>
    <row r="796" spans="1:154" s="4" customFormat="1" ht="13" customHeight="1">
      <c r="A796"/>
      <c r="B796"/>
      <c r="C796"/>
      <c r="D796"/>
      <c r="E796"/>
      <c r="F796"/>
      <c r="G796"/>
      <c r="H796"/>
      <c r="I796"/>
      <c r="J796" s="1336"/>
      <c r="K796" s="1337"/>
      <c r="L796" s="1337"/>
      <c r="M796" s="1337"/>
      <c r="N796" s="1338"/>
      <c r="O796" s="1614"/>
      <c r="P796" s="1614"/>
      <c r="Q796" s="1614"/>
      <c r="R796" s="1614"/>
      <c r="S796" s="1614"/>
      <c r="T796" s="1342"/>
      <c r="U796" s="1343"/>
      <c r="V796" s="1343"/>
      <c r="W796" s="1344"/>
      <c r="X796" s="1339"/>
      <c r="Y796" s="1340"/>
      <c r="Z796" s="1340"/>
      <c r="AA796" s="1340"/>
      <c r="AB796" s="1341"/>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60">
        <f t="shared" si="40"/>
        <v>0</v>
      </c>
      <c r="CQ796" s="1461"/>
      <c r="CR796" s="1461"/>
      <c r="CS796" s="1461"/>
      <c r="CT796" s="1462"/>
      <c r="CU796" s="1460">
        <f t="shared" si="41"/>
        <v>0</v>
      </c>
      <c r="CV796" s="1461"/>
      <c r="CW796" s="1461"/>
      <c r="CX796" s="1461"/>
      <c r="CY796" s="1462"/>
      <c r="CZ796" s="1460">
        <f t="shared" si="42"/>
        <v>0</v>
      </c>
      <c r="DA796" s="1461"/>
      <c r="DB796" s="1461"/>
      <c r="DC796" s="1461"/>
      <c r="DD796" s="1462"/>
      <c r="DE796" s="1460">
        <f t="shared" si="43"/>
        <v>0</v>
      </c>
      <c r="DF796" s="1461"/>
      <c r="DG796" s="1461"/>
      <c r="DH796" s="1461"/>
      <c r="DI796" s="1462"/>
      <c r="DJ796" s="1460">
        <f t="shared" si="44"/>
        <v>0</v>
      </c>
      <c r="DK796" s="1461"/>
      <c r="DL796" s="1461"/>
      <c r="DM796" s="1461"/>
      <c r="DN796" s="1462"/>
      <c r="DO796" s="1460">
        <f t="shared" si="45"/>
        <v>0</v>
      </c>
      <c r="DP796" s="1461"/>
      <c r="DQ796" s="1461"/>
      <c r="DR796" s="1461"/>
      <c r="DS796" s="1462"/>
      <c r="DT796" s="6"/>
      <c r="DU796" s="1460">
        <f t="shared" si="46"/>
        <v>0</v>
      </c>
      <c r="DV796" s="1461"/>
      <c r="DW796" s="1461"/>
      <c r="DX796" s="1461"/>
      <c r="DY796" s="1462"/>
      <c r="DZ796" s="1460">
        <f t="shared" si="47"/>
        <v>0</v>
      </c>
      <c r="EA796" s="1461"/>
      <c r="EB796" s="1461"/>
      <c r="EC796" s="1461"/>
      <c r="ED796" s="1462"/>
      <c r="EE796" s="1460">
        <f t="shared" si="48"/>
        <v>0</v>
      </c>
      <c r="EF796" s="1461"/>
      <c r="EG796" s="1461"/>
      <c r="EH796" s="1461"/>
      <c r="EI796" s="1462"/>
      <c r="EJ796" s="1460">
        <f t="shared" si="49"/>
        <v>0</v>
      </c>
      <c r="EK796" s="1461"/>
      <c r="EL796" s="1461"/>
      <c r="EM796" s="1461"/>
      <c r="EN796" s="1462"/>
      <c r="EO796" s="1460">
        <f t="shared" si="50"/>
        <v>0</v>
      </c>
      <c r="EP796" s="1461"/>
      <c r="EQ796" s="1461"/>
      <c r="ER796" s="1461"/>
      <c r="ES796" s="1462"/>
      <c r="ET796" s="1460">
        <f t="shared" si="51"/>
        <v>0</v>
      </c>
      <c r="EU796" s="1461"/>
      <c r="EV796" s="1461"/>
      <c r="EW796" s="1461"/>
      <c r="EX796" s="1462"/>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3"/>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2">
        <f>SUM(DU797:EX797)</f>
        <v>0</v>
      </c>
      <c r="EU799" s="1863"/>
      <c r="EV799" s="1863"/>
      <c r="EW799" s="1863"/>
      <c r="EX799" s="1864"/>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50801</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609612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14</v>
      </c>
      <c r="CV802" s="1475"/>
      <c r="CW802" s="1475"/>
      <c r="CX802" s="1475"/>
      <c r="CY802" s="1476"/>
      <c r="CZ802" s="1474">
        <f>CZ753+CZ777+CZ797</f>
        <v>34</v>
      </c>
      <c r="DA802" s="1475"/>
      <c r="DB802" s="1475"/>
      <c r="DC802" s="1475"/>
      <c r="DD802" s="1476"/>
      <c r="DE802" s="1474">
        <f>DE753+DE777+DE797</f>
        <v>16</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2">
        <f>DU755+DU800</f>
        <v>128</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0</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7705</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2728</v>
      </c>
      <c r="Q816" s="1595"/>
      <c r="R816" s="1595"/>
      <c r="S816" s="1595"/>
      <c r="T816" s="1595"/>
      <c r="U816" s="1595"/>
      <c r="V816" s="1595"/>
      <c r="W816" s="1595"/>
      <c r="X816" s="1595"/>
      <c r="Y816" s="1596"/>
      <c r="Z816" s="1468">
        <v>1550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9255</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618867</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8"/>
      <c r="E825" s="1358"/>
      <c r="F825" s="1358"/>
      <c r="G825" s="1358"/>
      <c r="H825" s="1358"/>
      <c r="I825" s="48"/>
      <c r="J825" s="48"/>
      <c r="K825" s="48"/>
      <c r="L825" s="49"/>
      <c r="M825" s="1643"/>
      <c r="N825" s="1643"/>
      <c r="O825" s="1643"/>
      <c r="P825" s="1643"/>
      <c r="Q825" s="1643">
        <v>0.47</v>
      </c>
      <c r="R825" s="1643"/>
      <c r="S825" s="1643"/>
      <c r="T825" s="1643"/>
      <c r="U825" s="1643">
        <v>0.74</v>
      </c>
      <c r="V825" s="1643"/>
      <c r="W825" s="1643"/>
      <c r="X825" s="1643"/>
      <c r="Y825" s="1643">
        <v>0.56999999999999995</v>
      </c>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v>1.72</v>
      </c>
      <c r="R826" s="1643"/>
      <c r="S826" s="1643"/>
      <c r="T826" s="1643"/>
      <c r="U826" s="1643">
        <v>1.67</v>
      </c>
      <c r="V826" s="1643"/>
      <c r="W826" s="1643"/>
      <c r="X826" s="1643"/>
      <c r="Y826" s="1643">
        <v>1.58</v>
      </c>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0.74</v>
      </c>
      <c r="R827" s="1643"/>
      <c r="S827" s="1643"/>
      <c r="T827" s="1643"/>
      <c r="U827" s="1643">
        <v>0.67</v>
      </c>
      <c r="V827" s="1643"/>
      <c r="W827" s="1643"/>
      <c r="X827" s="1643"/>
      <c r="Y827" s="1643">
        <v>0.62</v>
      </c>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v>0.61</v>
      </c>
      <c r="R828" s="1643"/>
      <c r="S828" s="1643"/>
      <c r="T828" s="1643"/>
      <c r="U828" s="1643">
        <v>0.72</v>
      </c>
      <c r="V828" s="1643"/>
      <c r="W828" s="1643"/>
      <c r="X828" s="1643"/>
      <c r="Y828" s="1643">
        <v>0.73</v>
      </c>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c r="N829" s="1643"/>
      <c r="O829" s="1643"/>
      <c r="P829" s="1643"/>
      <c r="Q829" s="1643">
        <v>6.45</v>
      </c>
      <c r="R829" s="1643"/>
      <c r="S829" s="1643"/>
      <c r="T829" s="1643"/>
      <c r="U829" s="1643">
        <v>6.44</v>
      </c>
      <c r="V829" s="1643"/>
      <c r="W829" s="1643"/>
      <c r="X829" s="1643"/>
      <c r="Y829" s="1643">
        <v>6.38</v>
      </c>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v>0</v>
      </c>
      <c r="R830" s="1643"/>
      <c r="S830" s="1643"/>
      <c r="T830" s="1643"/>
      <c r="U830" s="1643">
        <v>0</v>
      </c>
      <c r="V830" s="1643"/>
      <c r="W830" s="1643"/>
      <c r="X830" s="1643"/>
      <c r="Y830" s="1643">
        <v>0</v>
      </c>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2746</v>
      </c>
      <c r="G831" s="1595"/>
      <c r="H831" s="1595"/>
      <c r="I831" s="1595"/>
      <c r="J831" s="1595"/>
      <c r="K831" s="1595"/>
      <c r="L831" s="1595"/>
      <c r="M831" s="1643"/>
      <c r="N831" s="1643"/>
      <c r="O831" s="1643"/>
      <c r="P831" s="1643"/>
      <c r="Q831" s="1643">
        <v>1.45</v>
      </c>
      <c r="R831" s="1643"/>
      <c r="S831" s="1643"/>
      <c r="T831" s="1643"/>
      <c r="U831" s="1643">
        <v>1.2</v>
      </c>
      <c r="V831" s="1643"/>
      <c r="W831" s="1643"/>
      <c r="X831" s="1643"/>
      <c r="Y831" s="1643">
        <v>1.57</v>
      </c>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11.44</v>
      </c>
      <c r="R832" s="1637"/>
      <c r="S832" s="1637"/>
      <c r="T832" s="1637"/>
      <c r="U832" s="1637">
        <f>SUM(U825:X831)</f>
        <v>11.44</v>
      </c>
      <c r="V832" s="1637"/>
      <c r="W832" s="1637"/>
      <c r="X832" s="1637"/>
      <c r="Y832" s="1637">
        <f>SUM(Y825:AB831)</f>
        <v>11.45</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2729</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3">
        <f>500+750</f>
        <v>1250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3">
        <v>3500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3">
        <f>8250+9450</f>
        <v>17700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170</v>
      </c>
      <c r="K846" s="5"/>
      <c r="L846" s="5"/>
      <c r="M846" s="1594" t="s">
        <v>2730</v>
      </c>
      <c r="N846" s="1595"/>
      <c r="O846" s="1595"/>
      <c r="P846" s="1595"/>
      <c r="Q846" s="1595"/>
      <c r="R846" s="1595"/>
      <c r="S846" s="1595"/>
      <c r="T846" s="1595"/>
      <c r="U846" s="1595"/>
      <c r="V846" s="1596"/>
      <c r="W846" s="1483">
        <f>2000+9250+1750</f>
        <v>13000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SUM(W842:AC846)</f>
        <v>35450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8">
        <v>46080</v>
      </c>
      <c r="X849" s="1469"/>
      <c r="Y849" s="1469"/>
      <c r="Z849" s="1469"/>
      <c r="AA849" s="1469"/>
      <c r="AB849" s="1469"/>
      <c r="AC849" s="1470"/>
      <c r="AD849" s="534"/>
      <c r="AZ849" s="30"/>
      <c r="BA849" s="30"/>
      <c r="BB849" s="14"/>
      <c r="BC849" s="14"/>
    </row>
    <row r="850" spans="3:55" ht="13" customHeight="1">
      <c r="AD850" s="534"/>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2">
        <v>0</v>
      </c>
      <c r="X851" s="1652"/>
      <c r="Y851" s="1652"/>
      <c r="Z851" s="1652"/>
      <c r="AA851" s="1652"/>
      <c r="AB851" s="1652"/>
      <c r="AC851" s="1652"/>
      <c r="AZ851" s="1719"/>
      <c r="BA851" s="1719"/>
      <c r="BB851" s="14"/>
      <c r="BC851" s="14"/>
    </row>
    <row r="852" spans="3:55" ht="13" customHeight="1">
      <c r="J852" s="45" t="s">
        <v>351</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26408</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f>13019+13699</f>
        <v>26718</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SUM(W851:AC854)</f>
        <v>53126</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31">
        <v>52000</v>
      </c>
      <c r="X857" s="1632"/>
      <c r="Y857" s="1632"/>
      <c r="Z857" s="1632"/>
      <c r="AA857" s="1632"/>
      <c r="AB857" s="1632"/>
      <c r="AC857" s="1633"/>
      <c r="AD857" s="529"/>
      <c r="AZ857" s="34"/>
      <c r="BA857" s="34"/>
      <c r="BB857" s="34"/>
      <c r="BC857" s="34"/>
    </row>
    <row r="858" spans="3:55" ht="13" customHeight="1">
      <c r="C858" s="2" t="s">
        <v>347</v>
      </c>
      <c r="J858" s="121" t="s">
        <v>1655</v>
      </c>
      <c r="K858" s="5"/>
      <c r="L858" s="5"/>
      <c r="M858" s="5"/>
      <c r="N858" s="5"/>
      <c r="O858" s="5"/>
      <c r="P858" s="5"/>
      <c r="Q858" s="5"/>
      <c r="R858" s="5"/>
      <c r="S858" s="5"/>
      <c r="T858" s="1709">
        <v>5</v>
      </c>
      <c r="U858" s="1710"/>
      <c r="V858" s="1711"/>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31">
        <f>38760+17680+10000</f>
        <v>66440</v>
      </c>
      <c r="X859" s="1632"/>
      <c r="Y859" s="1632"/>
      <c r="Z859" s="1632"/>
      <c r="AA859" s="1632"/>
      <c r="AB859" s="1632"/>
      <c r="AC859" s="1633"/>
      <c r="AD859" s="534"/>
      <c r="AZ859" s="34"/>
      <c r="BA859" s="34"/>
      <c r="BB859" s="34"/>
      <c r="BC859" s="34"/>
    </row>
    <row r="860" spans="3:55" ht="13" customHeight="1">
      <c r="C860" s="2"/>
      <c r="J860" s="121" t="s">
        <v>1656</v>
      </c>
      <c r="K860" s="5"/>
      <c r="L860" s="5"/>
      <c r="M860" s="5"/>
      <c r="N860" s="5"/>
      <c r="O860" s="5"/>
      <c r="P860" s="5"/>
      <c r="Q860" s="5"/>
      <c r="R860" s="5"/>
      <c r="S860" s="5"/>
      <c r="T860" s="1709">
        <v>1</v>
      </c>
      <c r="U860" s="1710"/>
      <c r="V860" s="1711"/>
      <c r="W860" s="875"/>
      <c r="X860" s="876"/>
      <c r="Y860" s="876"/>
      <c r="Z860" s="876"/>
      <c r="AA860" s="876"/>
      <c r="AB860" s="876"/>
      <c r="AC860" s="877"/>
      <c r="AD860" s="534"/>
      <c r="AZ860" s="34"/>
      <c r="BA860" s="34"/>
      <c r="BB860" s="34"/>
      <c r="BC860" s="34"/>
    </row>
    <row r="861" spans="3:55" ht="13" customHeight="1">
      <c r="J861" s="45" t="s">
        <v>170</v>
      </c>
      <c r="K861" s="5"/>
      <c r="L861" s="5"/>
      <c r="M861" s="1594" t="s">
        <v>2731</v>
      </c>
      <c r="N861" s="1595"/>
      <c r="O861" s="1595"/>
      <c r="P861" s="1595"/>
      <c r="Q861" s="1595"/>
      <c r="R861" s="1595"/>
      <c r="S861" s="1595"/>
      <c r="T861" s="1595"/>
      <c r="U861" s="1595"/>
      <c r="V861" s="1596"/>
      <c r="W861" s="1631">
        <f>11290+5018+15600</f>
        <v>31908</v>
      </c>
      <c r="X861" s="1632"/>
      <c r="Y861" s="1632"/>
      <c r="Z861" s="1632"/>
      <c r="AA861" s="1632"/>
      <c r="AB861" s="1632"/>
      <c r="AC861" s="163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2">
        <f>SUM(W857:AC861)</f>
        <v>150348</v>
      </c>
      <c r="X862" s="1713"/>
      <c r="Y862" s="1713"/>
      <c r="Z862" s="1713"/>
      <c r="AA862" s="1713"/>
      <c r="AB862" s="1713"/>
      <c r="AC862" s="1714"/>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1">
        <v>35000</v>
      </c>
      <c r="X863" s="1632"/>
      <c r="Y863" s="1632"/>
      <c r="Z863" s="1632"/>
      <c r="AA863" s="1632"/>
      <c r="AB863" s="1632"/>
      <c r="AC863" s="1633"/>
      <c r="AU863" s="14"/>
      <c r="AZ863" s="34"/>
      <c r="BA863" s="34"/>
      <c r="BB863" s="34"/>
      <c r="BC863" s="34"/>
    </row>
    <row r="864" spans="3:55" ht="13" customHeight="1">
      <c r="J864" s="513"/>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483">
        <v>1200</v>
      </c>
      <c r="X865" s="1483"/>
      <c r="Y865" s="1483"/>
      <c r="Z865" s="1483"/>
      <c r="AA865" s="1483"/>
      <c r="AB865" s="1483"/>
      <c r="AC865" s="1483"/>
      <c r="AU865" s="14"/>
      <c r="AZ865" s="34"/>
      <c r="BA865" s="34"/>
      <c r="BB865" s="34"/>
      <c r="BC865" s="34"/>
    </row>
    <row r="866" spans="3:55" ht="13" customHeight="1">
      <c r="J866" s="45" t="s">
        <v>522</v>
      </c>
      <c r="K866" s="5"/>
      <c r="L866" s="5"/>
      <c r="M866" s="5"/>
      <c r="N866" s="5"/>
      <c r="O866" s="5"/>
      <c r="P866" s="5"/>
      <c r="Q866" s="5"/>
      <c r="R866" s="5"/>
      <c r="S866" s="5"/>
      <c r="T866" s="5"/>
      <c r="U866" s="5"/>
      <c r="V866" s="46"/>
      <c r="W866" s="1483">
        <f>21250+1875+11000</f>
        <v>34125</v>
      </c>
      <c r="X866" s="1483"/>
      <c r="Y866" s="1483"/>
      <c r="Z866" s="1483"/>
      <c r="AA866" s="1483"/>
      <c r="AB866" s="1483"/>
      <c r="AC866" s="1483"/>
      <c r="AU866" s="4"/>
      <c r="AZ866" s="34"/>
      <c r="BA866" s="34"/>
      <c r="BB866" s="34"/>
      <c r="BC866" s="34"/>
    </row>
    <row r="867" spans="3:55" ht="13" customHeight="1">
      <c r="J867" s="45" t="s">
        <v>521</v>
      </c>
      <c r="K867" s="5"/>
      <c r="L867" s="5"/>
      <c r="M867" s="5"/>
      <c r="N867" s="5"/>
      <c r="O867" s="5"/>
      <c r="P867" s="5"/>
      <c r="Q867" s="5"/>
      <c r="R867" s="5"/>
      <c r="S867" s="5"/>
      <c r="T867" s="5"/>
      <c r="U867" s="5"/>
      <c r="V867" s="46"/>
      <c r="W867" s="1483">
        <v>12500</v>
      </c>
      <c r="X867" s="1483"/>
      <c r="Y867" s="1483"/>
      <c r="Z867" s="1483"/>
      <c r="AA867" s="1483"/>
      <c r="AB867" s="1483"/>
      <c r="AC867" s="1483"/>
      <c r="AU867" s="4"/>
      <c r="AZ867" s="34"/>
      <c r="BA867" s="34"/>
      <c r="BB867" s="34"/>
      <c r="BC867" s="34"/>
    </row>
    <row r="868" spans="3:55" ht="13" customHeight="1">
      <c r="J868" s="45" t="s">
        <v>520</v>
      </c>
      <c r="K868" s="5"/>
      <c r="L868" s="5"/>
      <c r="M868" s="5"/>
      <c r="N868" s="5"/>
      <c r="O868" s="5"/>
      <c r="P868" s="5"/>
      <c r="Q868" s="5"/>
      <c r="R868" s="5"/>
      <c r="S868" s="5"/>
      <c r="T868" s="5"/>
      <c r="U868" s="5"/>
      <c r="V868" s="46"/>
      <c r="W868" s="1483"/>
      <c r="X868" s="1483"/>
      <c r="Y868" s="1483"/>
      <c r="Z868" s="1483"/>
      <c r="AA868" s="1483"/>
      <c r="AB868" s="1483"/>
      <c r="AC868" s="1483"/>
      <c r="AU868" s="4"/>
      <c r="AZ868" s="34"/>
      <c r="BA868" s="34"/>
      <c r="BB868" s="34"/>
      <c r="BC868" s="34"/>
    </row>
    <row r="869" spans="3:55" ht="13" customHeight="1">
      <c r="J869" s="45" t="s">
        <v>519</v>
      </c>
      <c r="K869" s="5"/>
      <c r="L869" s="5"/>
      <c r="M869" s="5"/>
      <c r="N869" s="5"/>
      <c r="O869" s="5"/>
      <c r="P869" s="5"/>
      <c r="Q869" s="5"/>
      <c r="R869" s="5"/>
      <c r="S869" s="5"/>
      <c r="T869" s="5"/>
      <c r="U869" s="5"/>
      <c r="V869" s="46"/>
      <c r="W869" s="1483"/>
      <c r="X869" s="1483"/>
      <c r="Y869" s="1483"/>
      <c r="Z869" s="1483"/>
      <c r="AA869" s="1483"/>
      <c r="AB869" s="1483"/>
      <c r="AC869" s="1483"/>
      <c r="AU869" s="4"/>
      <c r="AZ869" s="34"/>
      <c r="BA869" s="34"/>
      <c r="BB869" s="34"/>
      <c r="BC869" s="34"/>
    </row>
    <row r="870" spans="3:55" ht="13" customHeight="1">
      <c r="J870" s="45" t="s">
        <v>518</v>
      </c>
      <c r="K870" s="5"/>
      <c r="L870" s="5"/>
      <c r="M870" s="5"/>
      <c r="N870" s="5"/>
      <c r="O870" s="5"/>
      <c r="P870" s="5"/>
      <c r="Q870" s="5"/>
      <c r="R870" s="5"/>
      <c r="S870" s="5"/>
      <c r="T870" s="5"/>
      <c r="U870" s="5"/>
      <c r="V870" s="46"/>
      <c r="W870" s="1483"/>
      <c r="X870" s="1483"/>
      <c r="Y870" s="1483"/>
      <c r="Z870" s="1483"/>
      <c r="AA870" s="1483"/>
      <c r="AB870" s="1483"/>
      <c r="AC870" s="1483"/>
      <c r="AU870" s="4"/>
      <c r="AZ870" s="34"/>
      <c r="BA870" s="34"/>
      <c r="BB870" s="34"/>
      <c r="BC870" s="34"/>
    </row>
    <row r="871" spans="3:55" ht="13" customHeight="1">
      <c r="J871" s="45" t="s">
        <v>170</v>
      </c>
      <c r="K871" s="5"/>
      <c r="L871" s="5"/>
      <c r="M871" s="1594" t="s">
        <v>334</v>
      </c>
      <c r="N871" s="1595"/>
      <c r="O871" s="1595"/>
      <c r="P871" s="1595"/>
      <c r="Q871" s="1595"/>
      <c r="R871" s="1595"/>
      <c r="S871" s="1595"/>
      <c r="T871" s="1595"/>
      <c r="U871" s="1595"/>
      <c r="V871" s="1596"/>
      <c r="W871" s="1483"/>
      <c r="X871" s="1483"/>
      <c r="Y871" s="1483"/>
      <c r="Z871" s="1483"/>
      <c r="AA871" s="1483"/>
      <c r="AB871" s="1483"/>
      <c r="AC871" s="148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SUM(W865:AC871)</f>
        <v>47825</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4" t="s">
        <v>334</v>
      </c>
      <c r="N874" s="1595"/>
      <c r="O874" s="1595"/>
      <c r="P874" s="1595"/>
      <c r="Q874" s="1595"/>
      <c r="R874" s="1595"/>
      <c r="S874" s="1595"/>
      <c r="T874" s="1595"/>
      <c r="U874" s="1595"/>
      <c r="V874" s="1596"/>
      <c r="W874" s="1468"/>
      <c r="X874" s="1469"/>
      <c r="Y874" s="1469"/>
      <c r="Z874" s="1469"/>
      <c r="AA874" s="1469"/>
      <c r="AB874" s="1469"/>
      <c r="AC874" s="1470"/>
      <c r="AD874" s="534"/>
      <c r="AV874" s="14"/>
      <c r="AW874" s="14"/>
      <c r="AX874" s="14"/>
      <c r="AY874" s="14"/>
      <c r="AZ874" s="34"/>
      <c r="BA874" s="34"/>
      <c r="BB874" s="34"/>
      <c r="BC874" s="34"/>
    </row>
    <row r="875" spans="3:55" ht="13" customHeight="1">
      <c r="C875" s="2" t="s">
        <v>1244</v>
      </c>
      <c r="J875" s="45" t="s">
        <v>170</v>
      </c>
      <c r="K875" s="5"/>
      <c r="L875" s="5"/>
      <c r="M875" s="1594" t="s">
        <v>334</v>
      </c>
      <c r="N875" s="1595"/>
      <c r="O875" s="1595"/>
      <c r="P875" s="1595"/>
      <c r="Q875" s="1595"/>
      <c r="R875" s="1595"/>
      <c r="S875" s="1595"/>
      <c r="T875" s="1595"/>
      <c r="U875" s="1595"/>
      <c r="V875" s="1596"/>
      <c r="W875" s="1468"/>
      <c r="X875" s="1469"/>
      <c r="Y875" s="1469"/>
      <c r="Z875" s="1469"/>
      <c r="AA875" s="1469"/>
      <c r="AB875" s="1469"/>
      <c r="AC875" s="1470"/>
      <c r="AD875" s="534"/>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SUM(W874:AC878)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7">
        <f>W847+W855+W862+W863+W872+W879+W849</f>
        <v>367829</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5">
        <f>O797+O777+G753</f>
        <v>64</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3">
        <f>IF(ISERROR((ROUNDDOWN(AC883/AC884,0))),0,(ROUNDDOWN(AC883/AC884,0)))</f>
        <v>5747</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v>0</v>
      </c>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22800</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500*64</f>
        <v>32000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f>10254+2500</f>
        <v>12754</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10250</v>
      </c>
      <c r="AD891" s="1469"/>
      <c r="AE891" s="1469"/>
      <c r="AF891" s="1469"/>
      <c r="AG891" s="1469"/>
      <c r="AH891" s="1470"/>
      <c r="AZ891" s="34"/>
      <c r="BA891" s="34"/>
      <c r="BB891" s="34"/>
      <c r="BC891" s="34"/>
    </row>
    <row r="892" spans="3:55" ht="13" hidden="1" customHeight="1">
      <c r="C892" s="1450" t="s">
        <v>2236</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3"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c r="AD894" s="1483"/>
      <c r="AE894" s="1483"/>
      <c r="AF894" s="1483"/>
      <c r="AG894" s="1483"/>
      <c r="AH894" s="1483"/>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8">
        <v>4386</v>
      </c>
      <c r="AA899" s="1469"/>
      <c r="AB899" s="1469"/>
      <c r="AC899" s="1469"/>
      <c r="AD899" s="1469"/>
      <c r="AE899" s="1470"/>
      <c r="AF899" s="534"/>
      <c r="AZ899" s="34"/>
      <c r="BB899" s="30"/>
      <c r="BC899" s="817"/>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8">
        <v>4386</v>
      </c>
      <c r="AA900" s="1469"/>
      <c r="AB900" s="1469"/>
      <c r="AC900" s="1469"/>
      <c r="AD900" s="1469"/>
      <c r="AE900" s="1470"/>
      <c r="AZ900" s="34"/>
      <c r="BB900" s="30"/>
      <c r="BC900" s="817"/>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7"/>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7"/>
      <c r="BD902" s="1629"/>
      <c r="BE902" s="1629"/>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1"/>
      <c r="BE906" s="1661"/>
      <c r="BF906" s="1661"/>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0"/>
      <c r="BE908" s="1629"/>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21436286</v>
      </c>
      <c r="AB918" s="1409"/>
      <c r="AC918" s="1409"/>
      <c r="AD918" s="1409"/>
      <c r="AE918" s="1409"/>
      <c r="AF918" s="1410"/>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2" t="s">
        <v>545</v>
      </c>
      <c r="V921" s="1403"/>
      <c r="W921" s="1403"/>
      <c r="X921" s="1403"/>
      <c r="Y921" s="1403"/>
      <c r="Z921" s="1404"/>
      <c r="AA921" s="1408">
        <v>13936934</v>
      </c>
      <c r="AB921" s="1409"/>
      <c r="AC921" s="1409"/>
      <c r="AD921" s="1409"/>
      <c r="AE921" s="1409"/>
      <c r="AF921" s="1410"/>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 customHeight="1">
      <c r="F926" s="1602" t="s">
        <v>2194</v>
      </c>
      <c r="G926" s="1603"/>
      <c r="H926" s="1603"/>
      <c r="I926" s="1603"/>
      <c r="J926" s="1603"/>
      <c r="K926" s="1603"/>
      <c r="L926" s="1603"/>
      <c r="M926" s="1603"/>
      <c r="N926" s="1603"/>
      <c r="O926" s="1603"/>
      <c r="P926" s="1603"/>
      <c r="Q926" s="1603"/>
      <c r="R926" s="1603"/>
      <c r="S926" s="1603"/>
      <c r="T926" s="1604"/>
      <c r="U926" s="1402" t="s">
        <v>591</v>
      </c>
      <c r="V926" s="1403"/>
      <c r="W926" s="1403"/>
      <c r="X926" s="1403"/>
      <c r="Y926" s="1403"/>
      <c r="Z926" s="1404"/>
      <c r="AA926" s="1408"/>
      <c r="AB926" s="1409"/>
      <c r="AC926" s="1409"/>
      <c r="AD926" s="1409"/>
      <c r="AE926" s="1409"/>
      <c r="AF926" s="1410"/>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2" t="s">
        <v>591</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2" t="s">
        <v>2195</v>
      </c>
      <c r="G928" s="1603"/>
      <c r="H928" s="1603"/>
      <c r="I928" s="1603"/>
      <c r="J928" s="1603"/>
      <c r="K928" s="1603"/>
      <c r="L928" s="1603"/>
      <c r="M928" s="1603"/>
      <c r="N928" s="1603"/>
      <c r="O928" s="1603"/>
      <c r="P928" s="1603"/>
      <c r="Q928" s="1603"/>
      <c r="R928" s="1603"/>
      <c r="S928" s="1603"/>
      <c r="T928" s="1604"/>
      <c r="U928" s="1402" t="s">
        <v>591</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2" t="s">
        <v>2196</v>
      </c>
      <c r="G929" s="1603"/>
      <c r="H929" s="1603"/>
      <c r="I929" s="1603"/>
      <c r="J929" s="1603"/>
      <c r="K929" s="1603"/>
      <c r="L929" s="1603"/>
      <c r="M929" s="1603"/>
      <c r="N929" s="1603"/>
      <c r="O929" s="1603"/>
      <c r="P929" s="1603"/>
      <c r="Q929" s="1603"/>
      <c r="R929" s="1603"/>
      <c r="S929" s="1603"/>
      <c r="T929" s="1604"/>
      <c r="U929" s="1402" t="s">
        <v>591</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2" t="s">
        <v>2197</v>
      </c>
      <c r="G930" s="1603"/>
      <c r="H930" s="1603"/>
      <c r="I930" s="1603"/>
      <c r="J930" s="1603"/>
      <c r="K930" s="1603"/>
      <c r="L930" s="1603"/>
      <c r="M930" s="1603"/>
      <c r="N930" s="1603"/>
      <c r="O930" s="1603"/>
      <c r="P930" s="1603"/>
      <c r="Q930" s="1603"/>
      <c r="R930" s="1603"/>
      <c r="S930" s="1603"/>
      <c r="T930" s="1604"/>
      <c r="U930" s="1402" t="s">
        <v>591</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2" t="s">
        <v>2198</v>
      </c>
      <c r="G931" s="1603"/>
      <c r="H931" s="1603"/>
      <c r="I931" s="1603"/>
      <c r="J931" s="1603"/>
      <c r="K931" s="1603"/>
      <c r="L931" s="1603"/>
      <c r="M931" s="1603"/>
      <c r="N931" s="1603"/>
      <c r="O931" s="1603"/>
      <c r="P931" s="1603"/>
      <c r="Q931" s="1603"/>
      <c r="R931" s="1603"/>
      <c r="S931" s="1603"/>
      <c r="T931" s="1604"/>
      <c r="U931" s="1402" t="s">
        <v>591</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2" t="s">
        <v>2199</v>
      </c>
      <c r="G932" s="1603"/>
      <c r="H932" s="1603"/>
      <c r="I932" s="1603"/>
      <c r="J932" s="1603"/>
      <c r="K932" s="1603"/>
      <c r="L932" s="1603"/>
      <c r="M932" s="1603"/>
      <c r="N932" s="1603"/>
      <c r="O932" s="1603"/>
      <c r="P932" s="1603"/>
      <c r="Q932" s="1603"/>
      <c r="R932" s="1603"/>
      <c r="S932" s="1603"/>
      <c r="T932" s="1604"/>
      <c r="U932" s="1402" t="s">
        <v>591</v>
      </c>
      <c r="V932" s="1403"/>
      <c r="W932" s="1403"/>
      <c r="X932" s="1403"/>
      <c r="Y932" s="1403"/>
      <c r="Z932" s="1404"/>
      <c r="AA932" s="1408"/>
      <c r="AB932" s="1409"/>
      <c r="AC932" s="1409"/>
      <c r="AD932" s="1409"/>
      <c r="AE932" s="1409"/>
      <c r="AF932" s="1410"/>
      <c r="AZ932" s="30"/>
      <c r="BA932" s="30"/>
    </row>
    <row r="933" spans="6:55" ht="13"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 customHeight="1">
      <c r="F936" s="1640" t="s">
        <v>2203</v>
      </c>
      <c r="G936" s="1641"/>
      <c r="H936" s="1641"/>
      <c r="I936" s="1641"/>
      <c r="J936" s="1641"/>
      <c r="K936" s="1641"/>
      <c r="L936" s="1641"/>
      <c r="M936" s="1641"/>
      <c r="N936" s="1641"/>
      <c r="O936" s="1641"/>
      <c r="P936" s="1641"/>
      <c r="Q936" s="1641"/>
      <c r="R936" s="1641"/>
      <c r="S936" s="1641"/>
      <c r="T936" s="1642"/>
      <c r="U936" s="1402" t="s">
        <v>591</v>
      </c>
      <c r="V936" s="1403"/>
      <c r="W936" s="1403"/>
      <c r="X936" s="1403"/>
      <c r="Y936" s="1403"/>
      <c r="Z936" s="1404"/>
      <c r="AA936" s="1408"/>
      <c r="AB936" s="1409"/>
      <c r="AC936" s="1409"/>
      <c r="AD936" s="1409"/>
      <c r="AE936" s="1409"/>
      <c r="AF936" s="1410"/>
      <c r="AZ936" s="30"/>
      <c r="BA936" s="14"/>
    </row>
    <row r="937" spans="6:55" ht="13" customHeight="1">
      <c r="F937" s="1640" t="s">
        <v>2204</v>
      </c>
      <c r="G937" s="1641"/>
      <c r="H937" s="1641"/>
      <c r="I937" s="1641"/>
      <c r="J937" s="1641"/>
      <c r="K937" s="1641"/>
      <c r="L937" s="1641"/>
      <c r="M937" s="1641"/>
      <c r="N937" s="1641"/>
      <c r="O937" s="1641"/>
      <c r="P937" s="1641"/>
      <c r="Q937" s="1641"/>
      <c r="R937" s="1641"/>
      <c r="S937" s="1641"/>
      <c r="T937" s="1642"/>
      <c r="U937" s="1402" t="s">
        <v>591</v>
      </c>
      <c r="V937" s="1403"/>
      <c r="W937" s="1403"/>
      <c r="X937" s="1403"/>
      <c r="Y937" s="1403"/>
      <c r="Z937" s="1404"/>
      <c r="AA937" s="1408"/>
      <c r="AB937" s="1409"/>
      <c r="AC937" s="1409"/>
      <c r="AD937" s="1409"/>
      <c r="AE937" s="1409"/>
      <c r="AF937" s="1410"/>
      <c r="AZ937" s="30"/>
      <c r="BA937" s="30"/>
    </row>
    <row r="938" spans="6:55" ht="13" customHeight="1">
      <c r="F938" s="1602" t="s">
        <v>2200</v>
      </c>
      <c r="G938" s="1603"/>
      <c r="H938" s="1603"/>
      <c r="I938" s="1603"/>
      <c r="J938" s="1603"/>
      <c r="K938" s="1603"/>
      <c r="L938" s="1603"/>
      <c r="M938" s="1603"/>
      <c r="N938" s="1603"/>
      <c r="O938" s="1603"/>
      <c r="P938" s="1603"/>
      <c r="Q938" s="1603"/>
      <c r="R938" s="1603"/>
      <c r="S938" s="1603"/>
      <c r="T938" s="1604"/>
      <c r="U938" s="1402" t="s">
        <v>591</v>
      </c>
      <c r="V938" s="1403"/>
      <c r="W938" s="1403"/>
      <c r="X938" s="1403"/>
      <c r="Y938" s="1403"/>
      <c r="Z938" s="1404"/>
      <c r="AA938" s="1408"/>
      <c r="AB938" s="1409"/>
      <c r="AC938" s="1409"/>
      <c r="AD938" s="1409"/>
      <c r="AE938" s="1409"/>
      <c r="AF938" s="1410"/>
      <c r="AZ938" s="30"/>
      <c r="BA938" s="30"/>
    </row>
    <row r="939" spans="6:55" ht="13" customHeight="1">
      <c r="F939" s="1602" t="s">
        <v>2201</v>
      </c>
      <c r="G939" s="1603"/>
      <c r="H939" s="1603"/>
      <c r="I939" s="1603"/>
      <c r="J939" s="1603"/>
      <c r="K939" s="1603"/>
      <c r="L939" s="1603"/>
      <c r="M939" s="1603"/>
      <c r="N939" s="1603"/>
      <c r="O939" s="1603"/>
      <c r="P939" s="1603"/>
      <c r="Q939" s="1603"/>
      <c r="R939" s="1603"/>
      <c r="S939" s="1603"/>
      <c r="T939" s="1604"/>
      <c r="U939" s="1402" t="s">
        <v>591</v>
      </c>
      <c r="V939" s="1403"/>
      <c r="W939" s="1403"/>
      <c r="X939" s="1403"/>
      <c r="Y939" s="1403"/>
      <c r="Z939" s="1404"/>
      <c r="AA939" s="1408"/>
      <c r="AB939" s="1409"/>
      <c r="AC939" s="1409"/>
      <c r="AD939" s="1409"/>
      <c r="AE939" s="1409"/>
      <c r="AF939" s="1410"/>
      <c r="AZ939" s="30"/>
      <c r="BA939" s="30"/>
    </row>
    <row r="940" spans="6:55" ht="13" customHeight="1">
      <c r="F940" s="1602" t="s">
        <v>2202</v>
      </c>
      <c r="G940" s="1603"/>
      <c r="H940" s="1603"/>
      <c r="I940" s="1603"/>
      <c r="J940" s="1603"/>
      <c r="K940" s="1603"/>
      <c r="L940" s="1603"/>
      <c r="M940" s="1603"/>
      <c r="N940" s="1603"/>
      <c r="O940" s="1603"/>
      <c r="P940" s="1603"/>
      <c r="Q940" s="1603"/>
      <c r="R940" s="1603"/>
      <c r="S940" s="1603"/>
      <c r="T940" s="1604"/>
      <c r="U940" s="1402" t="s">
        <v>591</v>
      </c>
      <c r="V940" s="1403"/>
      <c r="W940" s="1403"/>
      <c r="X940" s="1403"/>
      <c r="Y940" s="1403"/>
      <c r="Z940" s="1404"/>
      <c r="AA940" s="1408"/>
      <c r="AB940" s="1409"/>
      <c r="AC940" s="1409"/>
      <c r="AD940" s="1409"/>
      <c r="AE940" s="1409"/>
      <c r="AF940" s="1410"/>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 customHeight="1">
      <c r="F942" s="1640" t="s">
        <v>2205</v>
      </c>
      <c r="G942" s="1641"/>
      <c r="H942" s="1641"/>
      <c r="I942" s="1641"/>
      <c r="J942" s="1641"/>
      <c r="K942" s="1641"/>
      <c r="L942" s="1641"/>
      <c r="M942" s="1641"/>
      <c r="N942" s="1641"/>
      <c r="O942" s="1641"/>
      <c r="P942" s="1641"/>
      <c r="Q942" s="1641"/>
      <c r="R942" s="1641"/>
      <c r="S942" s="1641"/>
      <c r="T942" s="1642"/>
      <c r="U942" s="1402" t="s">
        <v>591</v>
      </c>
      <c r="V942" s="1403"/>
      <c r="W942" s="1403"/>
      <c r="X942" s="1403"/>
      <c r="Y942" s="1403"/>
      <c r="Z942" s="1404"/>
      <c r="AA942" s="1408"/>
      <c r="AB942" s="1409"/>
      <c r="AC942" s="1409"/>
      <c r="AD942" s="1409"/>
      <c r="AE942" s="1409"/>
      <c r="AF942" s="1410"/>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 customHeight="1">
      <c r="F944" s="1640" t="s">
        <v>2206</v>
      </c>
      <c r="G944" s="1641"/>
      <c r="H944" s="1641"/>
      <c r="I944" s="1641"/>
      <c r="J944" s="1641"/>
      <c r="K944" s="1641"/>
      <c r="L944" s="1641"/>
      <c r="M944" s="1641"/>
      <c r="N944" s="1641"/>
      <c r="O944" s="1641"/>
      <c r="P944" s="1641"/>
      <c r="Q944" s="1641"/>
      <c r="R944" s="1641"/>
      <c r="S944" s="1641"/>
      <c r="T944" s="1642"/>
      <c r="U944" s="1402" t="s">
        <v>591</v>
      </c>
      <c r="V944" s="1403"/>
      <c r="W944" s="1403"/>
      <c r="X944" s="1403"/>
      <c r="Y944" s="1403"/>
      <c r="Z944" s="1404"/>
      <c r="AA944" s="1408"/>
      <c r="AB944" s="1409"/>
      <c r="AC944" s="1409"/>
      <c r="AD944" s="1409"/>
      <c r="AE944" s="1409"/>
      <c r="AF944" s="1410"/>
      <c r="AZ944" s="34"/>
      <c r="BA944" s="34"/>
      <c r="BB944" s="34"/>
      <c r="BC944" s="34"/>
    </row>
    <row r="945" spans="1:55" ht="13"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 customHeight="1">
      <c r="F946" s="1602" t="s">
        <v>2193</v>
      </c>
      <c r="G946" s="1603"/>
      <c r="H946" s="1604"/>
      <c r="I946" s="1594" t="s">
        <v>334</v>
      </c>
      <c r="J946" s="1595"/>
      <c r="K946" s="1595"/>
      <c r="L946" s="1595"/>
      <c r="M946" s="1595"/>
      <c r="N946" s="1595"/>
      <c r="O946" s="1595"/>
      <c r="P946" s="1595"/>
      <c r="Q946" s="1595"/>
      <c r="R946" s="1595"/>
      <c r="S946" s="1595"/>
      <c r="T946" s="1596"/>
      <c r="U946" s="1402" t="s">
        <v>591</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4" t="s">
        <v>2732</v>
      </c>
      <c r="J947" s="1595"/>
      <c r="K947" s="1595"/>
      <c r="L947" s="1595"/>
      <c r="M947" s="1595"/>
      <c r="N947" s="1595"/>
      <c r="O947" s="1595"/>
      <c r="P947" s="1595"/>
      <c r="Q947" s="1595"/>
      <c r="R947" s="1595"/>
      <c r="S947" s="1595"/>
      <c r="T947" s="1596"/>
      <c r="U947" s="1402" t="s">
        <v>545</v>
      </c>
      <c r="V947" s="1403"/>
      <c r="W947" s="1403"/>
      <c r="X947" s="1403"/>
      <c r="Y947" s="1403"/>
      <c r="Z947" s="1404"/>
      <c r="AA947" s="1408">
        <v>3449000</v>
      </c>
      <c r="AB947" s="1409"/>
      <c r="AC947" s="1409"/>
      <c r="AD947" s="1409"/>
      <c r="AE947" s="1409"/>
      <c r="AF947" s="1410"/>
      <c r="AZ947" s="34"/>
      <c r="BA947" s="34"/>
      <c r="BB947" s="34"/>
      <c r="BC947" s="34"/>
    </row>
    <row r="948" spans="1:55" ht="13" customHeight="1">
      <c r="F948" s="45" t="s">
        <v>10</v>
      </c>
      <c r="G948" s="48"/>
      <c r="H948" s="48"/>
      <c r="I948" s="1594" t="s">
        <v>2733</v>
      </c>
      <c r="J948" s="1539"/>
      <c r="K948" s="1539"/>
      <c r="L948" s="1539"/>
      <c r="M948" s="1539"/>
      <c r="N948" s="1539"/>
      <c r="O948" s="1539"/>
      <c r="P948" s="1539"/>
      <c r="Q948" s="1539"/>
      <c r="R948" s="1539"/>
      <c r="S948" s="1539"/>
      <c r="T948" s="1540"/>
      <c r="U948" s="1402" t="s">
        <v>545</v>
      </c>
      <c r="V948" s="1403"/>
      <c r="W948" s="1403"/>
      <c r="X948" s="1403"/>
      <c r="Y948" s="1403"/>
      <c r="Z948" s="1404"/>
      <c r="AA948" s="1408">
        <v>8500000</v>
      </c>
      <c r="AB948" s="1409"/>
      <c r="AC948" s="1409"/>
      <c r="AD948" s="1409"/>
      <c r="AE948" s="1409"/>
      <c r="AF948" s="1410"/>
      <c r="AV948" s="2"/>
      <c r="AW948" s="2"/>
      <c r="AX948" s="2"/>
      <c r="AY948" s="2"/>
      <c r="AZ948" s="34"/>
      <c r="BA948" s="34"/>
      <c r="BB948" s="34"/>
      <c r="BC948" s="34"/>
    </row>
    <row r="949" spans="1:55" ht="13" customHeight="1">
      <c r="F949" s="47" t="s">
        <v>170</v>
      </c>
      <c r="G949" s="48"/>
      <c r="H949" s="48"/>
      <c r="I949" s="1594" t="s">
        <v>2771</v>
      </c>
      <c r="J949" s="1539"/>
      <c r="K949" s="1539"/>
      <c r="L949" s="1539"/>
      <c r="M949" s="1539"/>
      <c r="N949" s="1539"/>
      <c r="O949" s="1539"/>
      <c r="P949" s="1539"/>
      <c r="Q949" s="1539"/>
      <c r="R949" s="1539"/>
      <c r="S949" s="1539"/>
      <c r="T949" s="1540"/>
      <c r="U949" s="1402" t="s">
        <v>591</v>
      </c>
      <c r="V949" s="1403"/>
      <c r="W949" s="1403"/>
      <c r="X949" s="1403"/>
      <c r="Y949" s="1403"/>
      <c r="Z949" s="1404"/>
      <c r="AA949" s="1408">
        <v>667000</v>
      </c>
      <c r="AB949" s="1409"/>
      <c r="AC949" s="1409"/>
      <c r="AD949" s="1409"/>
      <c r="AE949" s="1409"/>
      <c r="AF949" s="1410"/>
      <c r="AU949" s="2"/>
      <c r="AZ949" s="34"/>
      <c r="BA949" s="34"/>
      <c r="BB949" s="34"/>
      <c r="BC949" s="34"/>
    </row>
    <row r="950" spans="1:55" ht="13" customHeight="1">
      <c r="F950" s="47" t="s">
        <v>170</v>
      </c>
      <c r="G950" s="48"/>
      <c r="H950" s="48"/>
      <c r="I950" s="1538" t="s">
        <v>334</v>
      </c>
      <c r="J950" s="1539"/>
      <c r="K950" s="1539"/>
      <c r="L950" s="1539"/>
      <c r="M950" s="1539"/>
      <c r="N950" s="1539"/>
      <c r="O950" s="1539"/>
      <c r="P950" s="1539"/>
      <c r="Q950" s="1539"/>
      <c r="R950" s="1539"/>
      <c r="S950" s="1539"/>
      <c r="T950" s="1540"/>
      <c r="U950" s="1402" t="s">
        <v>591</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3"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3" customHeight="1">
      <c r="C957" s="66" t="s">
        <v>880</v>
      </c>
      <c r="D957" s="5"/>
      <c r="E957" s="5"/>
      <c r="J957" s="1554" t="s">
        <v>307</v>
      </c>
      <c r="K957" s="1555"/>
      <c r="L957" s="1555"/>
      <c r="M957" s="1555"/>
      <c r="N957" s="1555"/>
      <c r="O957" s="1555"/>
      <c r="P957" s="1555"/>
      <c r="Q957" s="1555"/>
      <c r="R957" s="1555"/>
      <c r="S957" s="1556"/>
      <c r="U957" s="66" t="s">
        <v>880</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2"/>
      <c r="N967" s="1533"/>
      <c r="O967" s="1533"/>
      <c r="P967" s="1533"/>
      <c r="Q967" s="1533"/>
      <c r="R967" s="1533"/>
      <c r="S967" s="1534"/>
      <c r="T967" s="66" t="s">
        <v>790</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2"/>
      <c r="N968" s="1533"/>
      <c r="O968" s="1533"/>
      <c r="P968" s="1533"/>
      <c r="Q968" s="1533"/>
      <c r="R968" s="1533"/>
      <c r="S968" s="1534"/>
      <c r="T968" s="66" t="s">
        <v>789</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591</v>
      </c>
      <c r="N969" s="1645"/>
      <c r="O969" s="1645"/>
      <c r="P969" s="1645"/>
      <c r="Q969" s="1645"/>
      <c r="R969" s="1645"/>
      <c r="S969" s="164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669</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8"/>
      <c r="H975" s="1358"/>
      <c r="I975" s="1358"/>
      <c r="J975" s="1358"/>
      <c r="K975" s="1358"/>
      <c r="L975" s="1358"/>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30"/>
      <c r="D986" s="1387" t="s">
        <v>633</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319236</v>
      </c>
      <c r="S986" s="1553"/>
      <c r="T986" s="1553"/>
      <c r="U986" s="1553"/>
      <c r="V986" s="1553"/>
      <c r="W986" s="1553"/>
      <c r="X986" s="1553"/>
      <c r="Y986" s="1553"/>
      <c r="Z986" s="1553"/>
      <c r="AA986" s="1553"/>
      <c r="AB986" s="1390">
        <f>CP802</f>
        <v>0</v>
      </c>
      <c r="AC986" s="1391"/>
      <c r="AD986" s="1391"/>
      <c r="AE986" s="1391"/>
      <c r="AF986" s="1391"/>
      <c r="AG986" s="1391"/>
      <c r="AH986" s="1391"/>
      <c r="AI986" s="1392"/>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368076</v>
      </c>
      <c r="S987" s="1553"/>
      <c r="T987" s="1553"/>
      <c r="U987" s="1553"/>
      <c r="V987" s="1553"/>
      <c r="W987" s="1553"/>
      <c r="X987" s="1553"/>
      <c r="Y987" s="1553"/>
      <c r="Z987" s="1553"/>
      <c r="AA987" s="1553"/>
      <c r="AB987" s="1390">
        <f>CU802</f>
        <v>14</v>
      </c>
      <c r="AC987" s="1391"/>
      <c r="AD987" s="1391"/>
      <c r="AE987" s="1391"/>
      <c r="AF987" s="1391"/>
      <c r="AG987" s="1391"/>
      <c r="AH987" s="1391"/>
      <c r="AI987" s="1392"/>
      <c r="AJ987" s="1490">
        <f>IF(ISERROR((R987*AB987)),0,(R987*AB987))</f>
        <v>5153064</v>
      </c>
      <c r="AK987" s="1491"/>
      <c r="AL987" s="1491"/>
      <c r="AM987" s="1491"/>
      <c r="AN987" s="1491"/>
      <c r="AO987" s="1491"/>
      <c r="AP987" s="1491"/>
      <c r="AQ987" s="1492"/>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444000</v>
      </c>
      <c r="S988" s="1553"/>
      <c r="T988" s="1553"/>
      <c r="U988" s="1553"/>
      <c r="V988" s="1553"/>
      <c r="W988" s="1553"/>
      <c r="X988" s="1553"/>
      <c r="Y988" s="1553"/>
      <c r="Z988" s="1553"/>
      <c r="AA988" s="1553"/>
      <c r="AB988" s="1390">
        <f>CZ802</f>
        <v>34</v>
      </c>
      <c r="AC988" s="1391"/>
      <c r="AD988" s="1391"/>
      <c r="AE988" s="1391"/>
      <c r="AF988" s="1391"/>
      <c r="AG988" s="1391"/>
      <c r="AH988" s="1391"/>
      <c r="AI988" s="1392"/>
      <c r="AJ988" s="1490">
        <f>IF(ISERROR((R988*AB988)),0,(R988*AB988))</f>
        <v>15096000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568320</v>
      </c>
      <c r="S989" s="1553"/>
      <c r="T989" s="1553"/>
      <c r="U989" s="1553"/>
      <c r="V989" s="1553"/>
      <c r="W989" s="1553"/>
      <c r="X989" s="1553"/>
      <c r="Y989" s="1553"/>
      <c r="Z989" s="1553"/>
      <c r="AA989" s="1553"/>
      <c r="AB989" s="1390">
        <f>DE802</f>
        <v>16</v>
      </c>
      <c r="AC989" s="1391"/>
      <c r="AD989" s="1391"/>
      <c r="AE989" s="1391"/>
      <c r="AF989" s="1391"/>
      <c r="AG989" s="1391"/>
      <c r="AH989" s="1391"/>
      <c r="AI989" s="1392"/>
      <c r="AJ989" s="1490">
        <f>IF(ISERROR((R989*AB989)),0,(R989*AB989))</f>
        <v>9093120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 customHeight="1">
      <c r="A990" s="14"/>
      <c r="B990" s="47"/>
      <c r="C990" s="78"/>
      <c r="D990" s="1387" t="s">
        <v>460</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633144</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64</v>
      </c>
      <c r="AC991" s="1391"/>
      <c r="AD991" s="1391"/>
      <c r="AE991" s="1391"/>
      <c r="AF991" s="1391"/>
      <c r="AG991" s="1391"/>
      <c r="AH991" s="1391"/>
      <c r="AI991" s="1392"/>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29342184</v>
      </c>
      <c r="AK992" s="1491"/>
      <c r="AL992" s="1491"/>
      <c r="AM992" s="1491"/>
      <c r="AN992" s="1491"/>
      <c r="AO992" s="1491"/>
      <c r="AP992" s="1491"/>
      <c r="AQ992" s="1492"/>
      <c r="AR992" s="68"/>
      <c r="AS992" s="68"/>
      <c r="AT992" s="68"/>
      <c r="AU992" s="68"/>
      <c r="AV992" s="68"/>
      <c r="AW992" s="68"/>
      <c r="AX992" s="68"/>
      <c r="AY992" s="68"/>
      <c r="AZ992" s="34"/>
      <c r="BB992" s="34"/>
      <c r="BC992" s="34"/>
    </row>
    <row r="993" spans="1:55" ht="13"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666</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 customHeight="1">
      <c r="A994" s="14"/>
      <c r="B994" s="73"/>
      <c r="C994" s="928" t="s">
        <v>668</v>
      </c>
      <c r="D994" s="1506" t="s">
        <v>1220</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545</v>
      </c>
      <c r="AH994" s="1503"/>
      <c r="AI994" s="87"/>
      <c r="AJ994" s="1393">
        <f>ROUND(IF(AND(AG994="yes",D1000&gt;0),AJ992*0.2,0),0)</f>
        <v>5868437</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8"/>
      <c r="C995" s="257"/>
      <c r="D995" s="1541" t="s">
        <v>2238</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8"/>
      <c r="C996" s="257"/>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8"/>
      <c r="C997" s="257"/>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8"/>
      <c r="C998" s="257"/>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8"/>
      <c r="C999" s="257"/>
      <c r="D999" s="1544" t="s">
        <v>2207</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8"/>
      <c r="C1000" s="257"/>
      <c r="D1000" s="1611" t="s">
        <v>2745</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6"/>
      <c r="C1001" s="319"/>
      <c r="D1001" s="1496" t="s">
        <v>1286</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669</v>
      </c>
      <c r="AH1001" s="1505"/>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8"/>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8"/>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63</v>
      </c>
      <c r="AZ1003" s="34"/>
      <c r="BB1003" s="34"/>
    </row>
    <row r="1004" spans="1:55" ht="13" customHeight="1">
      <c r="A1004" s="14"/>
      <c r="B1004" s="258"/>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8"/>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0.77</v>
      </c>
      <c r="AZ1005" s="34"/>
      <c r="BB1005" s="34"/>
    </row>
    <row r="1006" spans="1:55" ht="13"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0.22</v>
      </c>
      <c r="AZ1006" s="34"/>
      <c r="BB1006" s="34"/>
    </row>
    <row r="1007" spans="1:55" ht="13" customHeight="1">
      <c r="A1007" s="14"/>
      <c r="B1007" s="256"/>
      <c r="C1007" s="80" t="s">
        <v>672</v>
      </c>
      <c r="D1007" s="1496" t="s">
        <v>1683</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669</v>
      </c>
      <c r="AH1007" s="1505"/>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9" t="s">
        <v>1285</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 customHeight="1">
      <c r="A1011" s="14"/>
      <c r="B1011" s="79"/>
      <c r="C1011" s="80" t="s">
        <v>212</v>
      </c>
      <c r="D1011" s="1496" t="s">
        <v>1287</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669</v>
      </c>
      <c r="AH1011" s="1505"/>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2" t="s">
        <v>1288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 customHeight="1">
      <c r="A1013" s="14"/>
      <c r="B1013" s="79"/>
      <c r="C1013" s="80" t="s">
        <v>215</v>
      </c>
      <c r="D1013" s="1496" t="s">
        <v>1289</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669</v>
      </c>
      <c r="AH1013" s="1505"/>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 customHeight="1">
      <c r="A1014" s="14"/>
      <c r="B1014" s="73"/>
      <c r="C1014" s="74"/>
      <c r="D1014" s="1509" t="s">
        <v>1290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 customHeight="1">
      <c r="A1016" s="14"/>
      <c r="B1016" s="79"/>
      <c r="C1016" s="80" t="s">
        <v>218</v>
      </c>
      <c r="D1016" s="1506" t="s">
        <v>2239</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669</v>
      </c>
      <c r="AH1016" s="1505"/>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 customHeight="1">
      <c r="A1017" s="14"/>
      <c r="B1017" s="73"/>
      <c r="C1017" s="74"/>
      <c r="D1017" s="1509" t="s">
        <v>1291</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 customHeight="1">
      <c r="A1020" s="14"/>
      <c r="B1020" s="79"/>
      <c r="C1020" s="80" t="s">
        <v>223</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669</v>
      </c>
      <c r="AH1020" s="1505"/>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 customHeight="1">
      <c r="A1022" s="14"/>
      <c r="B1022" s="81"/>
      <c r="C1022" s="84"/>
      <c r="D1022" s="1509" t="s">
        <v>1293</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7" t="s">
        <v>591</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68"/>
      <c r="AY1024" s="68"/>
    </row>
    <row r="1025" spans="1:57" ht="13" customHeight="1">
      <c r="A1025" s="14"/>
      <c r="B1025" s="79"/>
      <c r="C1025" s="80" t="s">
        <v>229</v>
      </c>
      <c r="D1025" s="1496" t="s">
        <v>1294</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545</v>
      </c>
      <c r="AH1025" s="1505"/>
      <c r="AI1025" s="87"/>
      <c r="AJ1025" s="1393">
        <f>ROUND(IF(AG1025="Yes",AF1027,0),0)</f>
        <v>1685067</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9" t="s">
        <v>1690</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f>1291194+393873</f>
        <v>1685067</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6" t="s">
        <v>1295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545</v>
      </c>
      <c r="AH1029" s="1505"/>
      <c r="AI1029" s="87"/>
      <c r="AJ1029" s="1393">
        <f>ROUND(IF(AG1029="yes",(AJ992*0.1),0),0)</f>
        <v>2934218</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9" t="s">
        <v>1296</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40" t="s">
        <v>687</v>
      </c>
      <c r="D1032" s="1496" t="s">
        <v>1686</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669</v>
      </c>
      <c r="AH1032" s="1505"/>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8"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9"/>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9"/>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40" t="s">
        <v>687</v>
      </c>
      <c r="D1036" s="1506" t="s">
        <v>1688</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669</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8"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9"/>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9"/>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 customHeight="1">
      <c r="A1039" s="14"/>
      <c r="B1039" s="73"/>
      <c r="C1039" s="74"/>
      <c r="D1039" s="151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9"/>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2496</v>
      </c>
    </row>
    <row r="1040" spans="1:57" ht="13"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496" t="s">
        <v>1297</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545</v>
      </c>
      <c r="AH1041" s="1505"/>
      <c r="AI1041" s="87"/>
      <c r="AJ1041" s="1393">
        <f>ROUND(IF(AG1041="yes",(AJ992*0.1),0),0)</f>
        <v>2934218</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3" customHeight="1">
      <c r="A1042" s="14"/>
      <c r="B1042" s="73"/>
      <c r="C1042" s="74"/>
      <c r="D1042" s="1509" t="s">
        <v>2146</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2495</v>
      </c>
    </row>
    <row r="1043" spans="1:56" ht="13"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1684</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3">
        <f>IF((X1048=0),0,AY1005*AJ992)</f>
        <v>22593481.68</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1069448</v>
      </c>
      <c r="BA1045" s="3" t="s">
        <v>2481</v>
      </c>
      <c r="BB1045" s="3"/>
      <c r="BC1045" s="3"/>
      <c r="BD1045" s="3"/>
    </row>
    <row r="1046" spans="1:56" ht="13" customHeight="1">
      <c r="A1046" s="14"/>
      <c r="B1046" s="73"/>
      <c r="C1046" s="443"/>
      <c r="D1046" s="1509" t="s">
        <v>1299</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5013630.1499999994</v>
      </c>
      <c r="BA1046" s="1184">
        <f>IF(BA1040,20%,15%)</f>
        <v>0.15</v>
      </c>
      <c r="BB1046" s="3" t="s">
        <v>2482</v>
      </c>
      <c r="BC1046" s="3" t="s">
        <v>2483</v>
      </c>
      <c r="BD1046" s="3"/>
    </row>
    <row r="1047" spans="1:56" ht="13" customHeight="1">
      <c r="A1047" s="14"/>
      <c r="B1047" s="73"/>
      <c r="C1047" s="443"/>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571">
        <f>AY1003</f>
        <v>63</v>
      </c>
      <c r="J1048" s="1572"/>
      <c r="K1048" s="7"/>
      <c r="L1048" s="133"/>
      <c r="M1048" s="133"/>
      <c r="N1048" s="133"/>
      <c r="O1048" s="133"/>
      <c r="P1048" s="133"/>
      <c r="Q1048" s="133"/>
      <c r="R1048" s="133"/>
      <c r="S1048" s="133"/>
      <c r="T1048" s="133"/>
      <c r="U1048" s="133"/>
      <c r="V1048" s="134" t="s">
        <v>973</v>
      </c>
      <c r="W1048" s="48"/>
      <c r="X1048" s="1569">
        <f>CI753</f>
        <v>49</v>
      </c>
      <c r="Y1048" s="1570"/>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3" customHeight="1">
      <c r="A1049" s="14"/>
      <c r="B1049" s="79"/>
      <c r="C1049" s="131" t="s">
        <v>1685</v>
      </c>
      <c r="D1049" s="1496" t="s">
        <v>2172</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3">
        <f>IF((X1052=0),0,(2*AY1006)*AJ992)</f>
        <v>12910560.960000001</v>
      </c>
      <c r="AK1049" s="1394"/>
      <c r="AL1049" s="1394"/>
      <c r="AM1049" s="1394"/>
      <c r="AN1049" s="1394"/>
      <c r="AO1049" s="1394"/>
      <c r="AP1049" s="1394"/>
      <c r="AQ1049" s="1395"/>
      <c r="AR1049" s="68"/>
      <c r="AS1049" s="68"/>
      <c r="AT1049" s="68"/>
      <c r="AU1049" s="14"/>
      <c r="AV1049" s="68"/>
      <c r="AW1049" s="68"/>
      <c r="AX1049" s="68"/>
      <c r="AY1049" s="68"/>
      <c r="AZ1049" s="963">
        <f>AZ1045*BA1049</f>
        <v>160417.19999999998</v>
      </c>
      <c r="BA1049" s="1184">
        <v>0.15</v>
      </c>
      <c r="BB1049" s="3" t="s">
        <v>2482</v>
      </c>
      <c r="BC1049" s="3" t="s">
        <v>2486</v>
      </c>
      <c r="BD1049" s="3"/>
    </row>
    <row r="1050" spans="1:56" ht="13" customHeight="1">
      <c r="A1050" s="14"/>
      <c r="B1050" s="73"/>
      <c r="C1050" s="443"/>
      <c r="D1050" s="1509" t="s">
        <v>1298</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63</v>
      </c>
      <c r="J1052" s="1572"/>
      <c r="K1052" s="14"/>
      <c r="L1052" s="133"/>
      <c r="M1052" s="133"/>
      <c r="N1052" s="133"/>
      <c r="O1052" s="133"/>
      <c r="P1052" s="133"/>
      <c r="Q1052" s="133"/>
      <c r="R1052" s="133"/>
      <c r="S1052" s="133"/>
      <c r="T1052" s="133"/>
      <c r="U1052" s="133"/>
      <c r="V1052" s="134" t="s">
        <v>974</v>
      </c>
      <c r="X1052" s="1569">
        <f>CM753</f>
        <v>14</v>
      </c>
      <c r="Y1052" s="1570"/>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78268166.640000001</v>
      </c>
      <c r="AK1053" s="1581"/>
      <c r="AL1053" s="1581"/>
      <c r="AM1053" s="1581"/>
      <c r="AN1053" s="1581"/>
      <c r="AO1053" s="1581"/>
      <c r="AP1053" s="1581"/>
      <c r="AQ1053" s="1582"/>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7">
        <f>'Sources and Uses Budget'!S107+'Sources and Uses Budget'!T107</f>
        <v>38287422</v>
      </c>
      <c r="AB1056" s="1857"/>
      <c r="AC1056" s="1857"/>
      <c r="AD1056" s="1857"/>
      <c r="AE1056" s="1857"/>
      <c r="AF1056" s="1857"/>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5174047.3499999996</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8">
        <f>IFERROR((AA1056-BA1059)/(AJ1053-AJ1045-AJ1049),"")</f>
        <v>0.84005464487007853</v>
      </c>
      <c r="AB1057" s="1859"/>
      <c r="AC1057" s="1859"/>
      <c r="AD1057" s="1859"/>
      <c r="AE1057" s="1859"/>
      <c r="AF1057" s="1860"/>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6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c r="AL1058" s="1861"/>
      <c r="AM1058" s="1861"/>
      <c r="AN1058" s="1861"/>
      <c r="AO1058" s="68"/>
      <c r="AP1058" s="68"/>
      <c r="AQ1058" s="68"/>
      <c r="AR1058" s="68"/>
      <c r="AS1058" s="68"/>
      <c r="AT1058" s="68"/>
      <c r="AU1058" s="68"/>
      <c r="AV1058" s="14"/>
      <c r="AW1058" s="14"/>
      <c r="AX1058" s="14"/>
      <c r="AY1058" s="14"/>
      <c r="BA1058" s="1187">
        <f>'Sources and Uses Budget'!$S$104+'Sources and Uses Budget'!$T$104</f>
        <v>4863221</v>
      </c>
      <c r="BB1058" s="3" t="s">
        <v>2497</v>
      </c>
    </row>
    <row r="1059" spans="1:54" ht="13" customHeight="1">
      <c r="A1059" s="14"/>
      <c r="B1059" s="14"/>
      <c r="C1059" s="209"/>
      <c r="D1059" s="859"/>
      <c r="E1059" s="859"/>
      <c r="F1059" s="859"/>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68"/>
      <c r="AP1059" s="68"/>
      <c r="AQ1059" s="68"/>
      <c r="AR1059" s="68"/>
      <c r="AS1059" s="68"/>
      <c r="AT1059" s="68"/>
      <c r="AU1059" s="68"/>
      <c r="AV1059" s="14"/>
      <c r="AW1059" s="14"/>
      <c r="AX1059" s="14"/>
      <c r="AY1059" s="14"/>
      <c r="BA1059" s="1188">
        <f>MAX($BA$1058-$BA$1055,0)</f>
        <v>2363221</v>
      </c>
      <c r="BB1059" s="3" t="s">
        <v>2498</v>
      </c>
    </row>
    <row r="1060" spans="1:54" ht="13" customHeight="1">
      <c r="A1060" s="88"/>
      <c r="B1060" s="1174"/>
      <c r="C1060" s="1174"/>
      <c r="D1060" s="1174"/>
      <c r="E1060" s="1174"/>
      <c r="F1060" s="1174"/>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c r="AL1060" s="1861"/>
      <c r="AM1060" s="1861"/>
      <c r="AN1060" s="1861"/>
      <c r="AO1060" s="1174"/>
      <c r="AP1060" s="1174"/>
      <c r="AQ1060" s="68"/>
      <c r="AR1060" s="68"/>
      <c r="AS1060" s="68"/>
      <c r="AT1060" s="68"/>
      <c r="AU1060" s="68"/>
      <c r="AV1060" s="68"/>
      <c r="AW1060" s="68"/>
      <c r="AX1060" s="68"/>
      <c r="AY1060" s="68"/>
    </row>
    <row r="1061" spans="1:54" ht="13"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591</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591</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591</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591</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591</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591</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591</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591</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591</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591</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591</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2soNL3LWRvpFOtmjQM1/kqnZjvPsYgGA2Urb0Y2+XJv+STfVhUo2OqG+CC6oZokcCD8KbBsl0j/dV9yVcWj6aw==" saltValue="2TCBHmOEVl3llQpS62uU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D441:AF441"/>
    <mergeCell ref="AG447:AJ447"/>
    <mergeCell ref="AC454:AF454"/>
    <mergeCell ref="P425:Q425"/>
    <mergeCell ref="I418:K418"/>
    <mergeCell ref="S413:T413"/>
    <mergeCell ref="H338:R338"/>
    <mergeCell ref="AG393:AJ393"/>
    <mergeCell ref="AG391:AJ391"/>
    <mergeCell ref="K404:AJ404"/>
    <mergeCell ref="AC386:AJ386"/>
    <mergeCell ref="S489:AK490"/>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36:R336"/>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39:M339"/>
    <mergeCell ref="P339:R339"/>
    <mergeCell ref="AA341:AK341"/>
    <mergeCell ref="E368:AH369"/>
    <mergeCell ref="Q365:AG365"/>
    <mergeCell ref="H340:M340"/>
    <mergeCell ref="S402:U402"/>
    <mergeCell ref="AA339:AF339"/>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29:R329"/>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68:R568"/>
    <mergeCell ref="M574:R574"/>
    <mergeCell ref="Z569:AK569"/>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N599:O599"/>
    <mergeCell ref="AA590:AK590"/>
    <mergeCell ref="AI589:AK589"/>
    <mergeCell ref="Z596:AK596"/>
    <mergeCell ref="H598:R598"/>
    <mergeCell ref="AG583:AH583"/>
    <mergeCell ref="G588:R588"/>
    <mergeCell ref="Z580:AK580"/>
    <mergeCell ref="N607:O607"/>
    <mergeCell ref="G593:R593"/>
    <mergeCell ref="G605:L605"/>
    <mergeCell ref="H606:R606"/>
    <mergeCell ref="AI597:AK59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G569:R569"/>
    <mergeCell ref="Q564:S564"/>
    <mergeCell ref="AE561:AH561"/>
    <mergeCell ref="M560:P560"/>
    <mergeCell ref="Q563:S563"/>
    <mergeCell ref="AI565:AL565"/>
    <mergeCell ref="AE562:AH562"/>
    <mergeCell ref="Q562:S562"/>
    <mergeCell ref="AH501:AK501"/>
    <mergeCell ref="G474:V474"/>
    <mergeCell ref="AH526:AK526"/>
    <mergeCell ref="AC518:AF518"/>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G607:AH607"/>
    <mergeCell ref="AA606:AK606"/>
    <mergeCell ref="P605:R605"/>
    <mergeCell ref="C628:L628"/>
    <mergeCell ref="W633:Y633"/>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H582:R582"/>
    <mergeCell ref="Z579:AK579"/>
    <mergeCell ref="G577:R57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O624:AS626"/>
    <mergeCell ref="AG591:AH591"/>
    <mergeCell ref="Z632:AB632"/>
    <mergeCell ref="AE556:AH556"/>
    <mergeCell ref="AE559:AH559"/>
    <mergeCell ref="AI559:AL559"/>
    <mergeCell ref="AF628:AJ628"/>
    <mergeCell ref="AC503:AF503"/>
    <mergeCell ref="AC513:AF513"/>
    <mergeCell ref="Z630:AB630"/>
    <mergeCell ref="Z611:AK611"/>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6" manualBreakCount="16">
    <brk id="59" max="45" man="1"/>
    <brk id="107" max="45" man="1"/>
    <brk id="164" max="45" man="1"/>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4" ySplit="2" topLeftCell="G3" activePane="bottomRight" state="frozen"/>
      <selection pane="topRight" activeCell="E1" sqref="E1"/>
      <selection pane="bottomLeft" activeCell="A3" sqref="A3"/>
      <selection pane="bottomRight" activeCell="B13" sqref="B1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2)Domus Development, LLC</v>
      </c>
      <c r="H2" s="139" t="str">
        <f>Application!B629&amp;Application!C629</f>
        <v>3)CDBG-DR MHP 2018</v>
      </c>
      <c r="I2" s="139" t="str">
        <f>Application!B630&amp;Application!C630</f>
        <v>4)HCD IIG Small Jurisdiction</v>
      </c>
      <c r="J2" s="139" t="str">
        <f>Application!B631&amp;Application!C631</f>
        <v>5)Domus Development, LLC</v>
      </c>
      <c r="K2" s="139" t="str">
        <f>Application!B632&amp;Application!C632</f>
        <v>6)CDBG DR-MHP 2020</v>
      </c>
      <c r="L2" s="139" t="str">
        <f>Application!B633&amp;Application!C633</f>
        <v>7)CDBG DR-MHP 2018 Supplemental</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1995000</v>
      </c>
      <c r="C4" s="147">
        <v>1935150</v>
      </c>
      <c r="D4" s="147">
        <v>59850</v>
      </c>
      <c r="E4" s="147">
        <f>1995000-512065</f>
        <v>1482935</v>
      </c>
      <c r="F4" s="147">
        <v>512065</v>
      </c>
      <c r="G4" s="147"/>
      <c r="H4" s="147"/>
      <c r="I4" s="147"/>
      <c r="J4" s="147"/>
      <c r="K4" s="147"/>
      <c r="L4" s="147"/>
      <c r="M4" s="147"/>
      <c r="N4" s="147"/>
      <c r="O4" s="147"/>
      <c r="P4" s="147"/>
      <c r="Q4" s="147"/>
      <c r="R4" s="517">
        <f>SUM(E4:Q4)</f>
        <v>1995000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1995000</v>
      </c>
      <c r="C8" s="146">
        <f t="shared" ref="C8:Q8" si="0">SUM(C4:C7)</f>
        <v>1935150</v>
      </c>
      <c r="D8" s="146">
        <f t="shared" si="0"/>
        <v>59850</v>
      </c>
      <c r="E8" s="146">
        <f t="shared" si="0"/>
        <v>1482935</v>
      </c>
      <c r="F8" s="146">
        <f t="shared" si="0"/>
        <v>512065</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1995000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1995000</v>
      </c>
      <c r="C12" s="146">
        <f t="shared" si="2"/>
        <v>1935150</v>
      </c>
      <c r="D12" s="146">
        <f t="shared" si="2"/>
        <v>59850</v>
      </c>
      <c r="E12" s="146">
        <f t="shared" si="2"/>
        <v>1482935</v>
      </c>
      <c r="F12" s="146">
        <f t="shared" si="2"/>
        <v>512065</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1995000</v>
      </c>
      <c r="S12" s="148"/>
      <c r="T12" s="148"/>
      <c r="U12" s="143"/>
    </row>
    <row r="13" spans="1:21" s="144" customFormat="1">
      <c r="A13" s="288" t="s">
        <v>902</v>
      </c>
      <c r="B13" s="146">
        <f>SUM(C13+D13)</f>
        <v>485819</v>
      </c>
      <c r="C13" s="147">
        <f>386425+36320+58200-9700</f>
        <v>471245</v>
      </c>
      <c r="D13" s="147">
        <f>11951+1123+1800-300</f>
        <v>14574</v>
      </c>
      <c r="E13" s="147"/>
      <c r="F13" s="147">
        <f>495819-10000</f>
        <v>485819</v>
      </c>
      <c r="G13" s="147"/>
      <c r="H13" s="147"/>
      <c r="I13" s="147"/>
      <c r="J13" s="147"/>
      <c r="K13" s="147"/>
      <c r="L13" s="147"/>
      <c r="M13" s="147"/>
      <c r="N13" s="147"/>
      <c r="O13" s="147"/>
      <c r="P13" s="147"/>
      <c r="Q13" s="147"/>
      <c r="R13" s="517">
        <f>SUM(E13:Q13)</f>
        <v>485819</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599</v>
      </c>
      <c r="B30" s="146">
        <f>SUM(C30+D30)</f>
        <v>19358857</v>
      </c>
      <c r="C30" s="147">
        <v>18778091</v>
      </c>
      <c r="D30" s="147">
        <v>580766</v>
      </c>
      <c r="E30" s="147"/>
      <c r="F30" s="147"/>
      <c r="G30" s="147"/>
      <c r="H30" s="147">
        <v>13936934</v>
      </c>
      <c r="I30" s="147">
        <v>3449000</v>
      </c>
      <c r="J30" s="147"/>
      <c r="K30" s="147">
        <v>1305923</v>
      </c>
      <c r="L30" s="147">
        <v>667000</v>
      </c>
      <c r="M30" s="147"/>
      <c r="N30" s="147"/>
      <c r="O30" s="147"/>
      <c r="P30" s="147"/>
      <c r="Q30" s="147"/>
      <c r="R30" s="517">
        <f t="shared" si="7"/>
        <v>19358857</v>
      </c>
      <c r="S30" s="147">
        <f>C30</f>
        <v>18778091</v>
      </c>
      <c r="T30" s="147"/>
      <c r="U30" s="143"/>
    </row>
    <row r="31" spans="1:21" s="144" customFormat="1">
      <c r="A31" s="145" t="s">
        <v>600</v>
      </c>
      <c r="B31" s="146">
        <f>SUM(C31+D31)</f>
        <v>1632674</v>
      </c>
      <c r="C31" s="147">
        <v>1583694</v>
      </c>
      <c r="D31" s="147">
        <v>48980</v>
      </c>
      <c r="E31" s="147"/>
      <c r="F31" s="147"/>
      <c r="G31" s="147"/>
      <c r="H31" s="147"/>
      <c r="I31" s="147"/>
      <c r="J31" s="147"/>
      <c r="K31" s="147">
        <f>B31</f>
        <v>1632674</v>
      </c>
      <c r="L31" s="147"/>
      <c r="M31" s="147"/>
      <c r="N31" s="147"/>
      <c r="O31" s="147"/>
      <c r="P31" s="147"/>
      <c r="Q31" s="147"/>
      <c r="R31" s="517">
        <f t="shared" si="7"/>
        <v>1632674</v>
      </c>
      <c r="S31" s="147">
        <f t="shared" ref="S31:S37" si="8">C31</f>
        <v>1583694</v>
      </c>
      <c r="T31" s="147"/>
      <c r="U31" s="143"/>
    </row>
    <row r="32" spans="1:21" s="144" customFormat="1">
      <c r="A32" s="145" t="s">
        <v>137</v>
      </c>
      <c r="B32" s="146">
        <f t="shared" si="6"/>
        <v>1632674</v>
      </c>
      <c r="C32" s="147">
        <v>1583694</v>
      </c>
      <c r="D32" s="147">
        <v>48980</v>
      </c>
      <c r="E32" s="147"/>
      <c r="F32" s="147"/>
      <c r="G32" s="147"/>
      <c r="H32" s="147"/>
      <c r="I32" s="147"/>
      <c r="J32" s="147"/>
      <c r="K32" s="147">
        <f>B32</f>
        <v>1632674</v>
      </c>
      <c r="L32" s="147"/>
      <c r="M32" s="147"/>
      <c r="N32" s="147"/>
      <c r="O32" s="147"/>
      <c r="P32" s="147"/>
      <c r="Q32" s="147"/>
      <c r="R32" s="517">
        <f t="shared" si="7"/>
        <v>1632674</v>
      </c>
      <c r="S32" s="147">
        <f t="shared" si="8"/>
        <v>1583694</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f t="shared" si="8"/>
        <v>0</v>
      </c>
      <c r="T33" s="147"/>
      <c r="U33" s="143"/>
    </row>
    <row r="34" spans="1:21" s="144" customFormat="1">
      <c r="A34" s="145" t="s">
        <v>139</v>
      </c>
      <c r="B34" s="146">
        <f t="shared" si="6"/>
        <v>3965067</v>
      </c>
      <c r="C34" s="147">
        <v>3846115</v>
      </c>
      <c r="D34" s="147">
        <v>118952</v>
      </c>
      <c r="E34" s="147">
        <v>36338</v>
      </c>
      <c r="F34" s="147"/>
      <c r="G34" s="147"/>
      <c r="H34" s="147"/>
      <c r="I34" s="147"/>
      <c r="J34" s="147"/>
      <c r="K34" s="147">
        <f>B34-36338</f>
        <v>3928729</v>
      </c>
      <c r="L34" s="147"/>
      <c r="M34" s="147"/>
      <c r="N34" s="147"/>
      <c r="O34" s="147"/>
      <c r="P34" s="147"/>
      <c r="Q34" s="147"/>
      <c r="R34" s="517">
        <f t="shared" si="7"/>
        <v>3965067</v>
      </c>
      <c r="S34" s="147">
        <f t="shared" si="8"/>
        <v>3846115</v>
      </c>
      <c r="T34" s="147"/>
      <c r="U34" s="143"/>
    </row>
    <row r="35" spans="1:21" s="144" customFormat="1">
      <c r="A35" s="145" t="s">
        <v>140</v>
      </c>
      <c r="B35" s="146">
        <f t="shared" si="6"/>
        <v>531786</v>
      </c>
      <c r="C35" s="147">
        <v>515832</v>
      </c>
      <c r="D35" s="147">
        <v>15954</v>
      </c>
      <c r="E35" s="147">
        <f>B35</f>
        <v>531786</v>
      </c>
      <c r="F35" s="147"/>
      <c r="G35" s="147"/>
      <c r="H35" s="147"/>
      <c r="I35" s="147"/>
      <c r="J35" s="147"/>
      <c r="K35" s="147"/>
      <c r="L35" s="147"/>
      <c r="M35" s="147"/>
      <c r="N35" s="147"/>
      <c r="O35" s="147"/>
      <c r="P35" s="147"/>
      <c r="Q35" s="147"/>
      <c r="R35" s="517">
        <f t="shared" si="7"/>
        <v>531786</v>
      </c>
      <c r="S35" s="147">
        <f t="shared" si="8"/>
        <v>515832</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f t="shared" si="8"/>
        <v>0</v>
      </c>
      <c r="T36" s="147"/>
      <c r="U36" s="143"/>
    </row>
    <row r="37" spans="1:21" s="144" customFormat="1">
      <c r="A37" s="1151" t="s">
        <v>2739</v>
      </c>
      <c r="B37" s="146">
        <f t="shared" si="6"/>
        <v>271210</v>
      </c>
      <c r="C37" s="147">
        <v>263074</v>
      </c>
      <c r="D37" s="147">
        <v>8136</v>
      </c>
      <c r="E37" s="147">
        <f>B37</f>
        <v>271210</v>
      </c>
      <c r="F37" s="147"/>
      <c r="G37" s="147"/>
      <c r="H37" s="147"/>
      <c r="I37" s="147"/>
      <c r="J37" s="147"/>
      <c r="K37" s="147"/>
      <c r="L37" s="147"/>
      <c r="M37" s="147"/>
      <c r="N37" s="147"/>
      <c r="O37" s="147"/>
      <c r="P37" s="147"/>
      <c r="Q37" s="147"/>
      <c r="R37" s="517">
        <f t="shared" si="7"/>
        <v>271210</v>
      </c>
      <c r="S37" s="147">
        <f t="shared" si="8"/>
        <v>263074</v>
      </c>
      <c r="T37" s="147"/>
      <c r="U37" s="143"/>
    </row>
    <row r="38" spans="1:21" s="144" customFormat="1">
      <c r="A38" s="149" t="s">
        <v>143</v>
      </c>
      <c r="B38" s="146">
        <f t="shared" si="6"/>
        <v>27392268</v>
      </c>
      <c r="C38" s="146">
        <f>SUM(C29:C37)</f>
        <v>26570500</v>
      </c>
      <c r="D38" s="146">
        <f t="shared" ref="D38:Q38" si="9">SUM(D29:D37)</f>
        <v>821768</v>
      </c>
      <c r="E38" s="146">
        <f t="shared" si="9"/>
        <v>839334</v>
      </c>
      <c r="F38" s="146">
        <f t="shared" si="9"/>
        <v>0</v>
      </c>
      <c r="G38" s="146">
        <f t="shared" si="9"/>
        <v>0</v>
      </c>
      <c r="H38" s="146">
        <f t="shared" si="9"/>
        <v>13936934</v>
      </c>
      <c r="I38" s="146">
        <f t="shared" si="9"/>
        <v>3449000</v>
      </c>
      <c r="J38" s="146">
        <f t="shared" si="9"/>
        <v>0</v>
      </c>
      <c r="K38" s="146">
        <f t="shared" si="9"/>
        <v>8500000</v>
      </c>
      <c r="L38" s="146">
        <f t="shared" si="9"/>
        <v>667000</v>
      </c>
      <c r="M38" s="146">
        <f t="shared" si="9"/>
        <v>0</v>
      </c>
      <c r="N38" s="146">
        <f t="shared" si="9"/>
        <v>0</v>
      </c>
      <c r="O38" s="146">
        <f t="shared" si="9"/>
        <v>0</v>
      </c>
      <c r="P38" s="146">
        <f t="shared" si="9"/>
        <v>0</v>
      </c>
      <c r="Q38" s="146">
        <f t="shared" si="9"/>
        <v>0</v>
      </c>
      <c r="R38" s="343">
        <f>SUM(R29:R37)</f>
        <v>27392268</v>
      </c>
      <c r="S38" s="150">
        <f>SUM(S29:S37)</f>
        <v>26570500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934761</v>
      </c>
      <c r="C40" s="147">
        <v>906718</v>
      </c>
      <c r="D40" s="147">
        <v>28043</v>
      </c>
      <c r="E40" s="147">
        <f>B40</f>
        <v>934761</v>
      </c>
      <c r="F40" s="147"/>
      <c r="G40" s="147"/>
      <c r="H40" s="147"/>
      <c r="I40" s="147"/>
      <c r="J40" s="147"/>
      <c r="K40" s="147"/>
      <c r="L40" s="147"/>
      <c r="M40" s="147"/>
      <c r="N40" s="147"/>
      <c r="O40" s="147"/>
      <c r="P40" s="147"/>
      <c r="Q40" s="147"/>
      <c r="R40" s="517">
        <f>SUM(E40:Q40)</f>
        <v>934761</v>
      </c>
      <c r="S40" s="147">
        <f t="shared" ref="S40:S41" si="10">C40</f>
        <v>906718</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f t="shared" si="10"/>
        <v>0</v>
      </c>
      <c r="T41" s="147"/>
      <c r="U41" s="143"/>
    </row>
    <row r="42" spans="1:21" s="144" customFormat="1">
      <c r="A42" s="149" t="s">
        <v>147</v>
      </c>
      <c r="B42" s="146">
        <f>SUM(C42:D42)</f>
        <v>934761</v>
      </c>
      <c r="C42" s="146">
        <f>SUM(C39:C41)</f>
        <v>906718</v>
      </c>
      <c r="D42" s="146">
        <f>SUM(D39:D41)</f>
        <v>28043</v>
      </c>
      <c r="E42" s="146">
        <f t="shared" ref="E42:T42" si="11">SUM(E40:E41)</f>
        <v>934761</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934761</v>
      </c>
      <c r="S42" s="150">
        <f t="shared" si="11"/>
        <v>906718</v>
      </c>
      <c r="T42" s="150">
        <f t="shared" si="11"/>
        <v>0</v>
      </c>
      <c r="U42" s="143"/>
    </row>
    <row r="43" spans="1:21" s="144" customFormat="1">
      <c r="A43" s="149" t="s">
        <v>148</v>
      </c>
      <c r="B43" s="146">
        <f>SUM(C43:D43)</f>
        <v>330762</v>
      </c>
      <c r="C43" s="147">
        <v>320839</v>
      </c>
      <c r="D43" s="147">
        <v>9923</v>
      </c>
      <c r="E43" s="147">
        <f>B43</f>
        <v>330762</v>
      </c>
      <c r="F43" s="147"/>
      <c r="G43" s="147"/>
      <c r="H43" s="147"/>
      <c r="I43" s="147"/>
      <c r="J43" s="147"/>
      <c r="K43" s="147"/>
      <c r="L43" s="147"/>
      <c r="M43" s="147"/>
      <c r="N43" s="147"/>
      <c r="O43" s="147"/>
      <c r="P43" s="147"/>
      <c r="Q43" s="147"/>
      <c r="R43" s="517">
        <f>SUM(E43:Q43)</f>
        <v>330762</v>
      </c>
      <c r="S43" s="147">
        <f>C43</f>
        <v>320839</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1396141</v>
      </c>
      <c r="C45" s="147">
        <v>1357033</v>
      </c>
      <c r="D45" s="147">
        <f>41970-2862</f>
        <v>39108</v>
      </c>
      <c r="E45" s="147">
        <f>B45</f>
        <v>1396141</v>
      </c>
      <c r="F45" s="147"/>
      <c r="G45" s="147"/>
      <c r="H45" s="147"/>
      <c r="I45" s="147"/>
      <c r="J45" s="147"/>
      <c r="K45" s="147"/>
      <c r="L45" s="147"/>
      <c r="M45" s="147"/>
      <c r="N45" s="147"/>
      <c r="O45" s="147"/>
      <c r="P45" s="147"/>
      <c r="Q45" s="147"/>
      <c r="R45" s="517">
        <f t="shared" ref="R45:R53" si="13">SUM(E45:Q45)</f>
        <v>1396141</v>
      </c>
      <c r="S45" s="147">
        <f>924369-19397</f>
        <v>904972</v>
      </c>
      <c r="T45" s="147"/>
      <c r="U45" s="143"/>
    </row>
    <row r="46" spans="1:21" s="144" customFormat="1">
      <c r="A46" s="145" t="s">
        <v>151</v>
      </c>
      <c r="B46" s="146">
        <f t="shared" si="12"/>
        <v>214363</v>
      </c>
      <c r="C46" s="147">
        <v>207932</v>
      </c>
      <c r="D46" s="147">
        <v>6431</v>
      </c>
      <c r="E46" s="147">
        <f t="shared" ref="E46:E52" si="14">B46</f>
        <v>214363</v>
      </c>
      <c r="F46" s="147"/>
      <c r="G46" s="147"/>
      <c r="H46" s="147"/>
      <c r="I46" s="147"/>
      <c r="J46" s="147"/>
      <c r="K46" s="147"/>
      <c r="L46" s="147"/>
      <c r="M46" s="147"/>
      <c r="N46" s="147"/>
      <c r="O46" s="147"/>
      <c r="P46" s="147"/>
      <c r="Q46" s="147"/>
      <c r="R46" s="517">
        <f t="shared" si="13"/>
        <v>214363</v>
      </c>
      <c r="S46" s="147">
        <f t="shared" ref="S46:S52" si="15">C46</f>
        <v>207932</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7">
        <f t="shared" si="13"/>
        <v>0</v>
      </c>
      <c r="S47" s="147">
        <f t="shared" si="15"/>
        <v>0</v>
      </c>
      <c r="T47" s="147"/>
      <c r="U47" s="143"/>
    </row>
    <row r="48" spans="1:21" s="144" customFormat="1">
      <c r="A48" s="145" t="s">
        <v>153</v>
      </c>
      <c r="B48" s="146">
        <f t="shared" si="12"/>
        <v>175987</v>
      </c>
      <c r="C48" s="147">
        <f>7278+10397+46772+4850+101410</f>
        <v>170707</v>
      </c>
      <c r="D48" s="147">
        <f>225+322+1447+150+3136</f>
        <v>5280</v>
      </c>
      <c r="E48" s="147">
        <f t="shared" si="14"/>
        <v>175987</v>
      </c>
      <c r="F48" s="147"/>
      <c r="G48" s="147"/>
      <c r="H48" s="147"/>
      <c r="I48" s="147"/>
      <c r="J48" s="147"/>
      <c r="K48" s="147"/>
      <c r="L48" s="147"/>
      <c r="M48" s="147"/>
      <c r="N48" s="147"/>
      <c r="O48" s="147"/>
      <c r="P48" s="147"/>
      <c r="Q48" s="147"/>
      <c r="R48" s="517">
        <f t="shared" si="13"/>
        <v>175987</v>
      </c>
      <c r="S48" s="147"/>
      <c r="T48" s="147"/>
      <c r="U48" s="143"/>
    </row>
    <row r="49" spans="1:21" s="144" customFormat="1">
      <c r="A49" s="145" t="s">
        <v>57</v>
      </c>
      <c r="B49" s="146">
        <f t="shared" si="12"/>
        <v>50614</v>
      </c>
      <c r="C49" s="147">
        <f>22524+26578</f>
        <v>49102</v>
      </c>
      <c r="D49" s="147">
        <f>690+822</f>
        <v>1512</v>
      </c>
      <c r="E49" s="147">
        <f t="shared" si="14"/>
        <v>50614</v>
      </c>
      <c r="F49" s="147"/>
      <c r="G49" s="147"/>
      <c r="H49" s="147"/>
      <c r="I49" s="147"/>
      <c r="J49" s="147"/>
      <c r="K49" s="147"/>
      <c r="L49" s="147"/>
      <c r="M49" s="147"/>
      <c r="N49" s="147"/>
      <c r="O49" s="147"/>
      <c r="P49" s="147"/>
      <c r="Q49" s="147"/>
      <c r="R49" s="517">
        <f t="shared" si="13"/>
        <v>50614</v>
      </c>
      <c r="S49" s="147"/>
      <c r="T49" s="147"/>
      <c r="U49" s="143"/>
    </row>
    <row r="50" spans="1:21" s="144" customFormat="1">
      <c r="A50" s="145" t="s">
        <v>156</v>
      </c>
      <c r="B50" s="146">
        <f t="shared" si="12"/>
        <v>50000</v>
      </c>
      <c r="C50" s="147">
        <v>48500</v>
      </c>
      <c r="D50" s="147">
        <v>1500</v>
      </c>
      <c r="E50" s="147">
        <f t="shared" si="14"/>
        <v>50000</v>
      </c>
      <c r="F50" s="147"/>
      <c r="G50" s="147"/>
      <c r="H50" s="147"/>
      <c r="I50" s="147"/>
      <c r="J50" s="147"/>
      <c r="K50" s="147"/>
      <c r="L50" s="147"/>
      <c r="M50" s="147"/>
      <c r="N50" s="147"/>
      <c r="O50" s="147"/>
      <c r="P50" s="147"/>
      <c r="Q50" s="147"/>
      <c r="R50" s="517">
        <f t="shared" si="13"/>
        <v>50000</v>
      </c>
      <c r="S50" s="147">
        <f t="shared" si="15"/>
        <v>48500</v>
      </c>
      <c r="T50" s="147"/>
      <c r="U50" s="143"/>
    </row>
    <row r="51" spans="1:21" s="144" customFormat="1">
      <c r="A51" s="284" t="s">
        <v>154</v>
      </c>
      <c r="B51" s="146">
        <f t="shared" si="12"/>
        <v>69825</v>
      </c>
      <c r="C51" s="147">
        <v>67730</v>
      </c>
      <c r="D51" s="147">
        <v>2095</v>
      </c>
      <c r="E51" s="147">
        <f t="shared" si="14"/>
        <v>69825</v>
      </c>
      <c r="F51" s="147"/>
      <c r="G51" s="147"/>
      <c r="H51" s="147"/>
      <c r="I51" s="147"/>
      <c r="J51" s="147"/>
      <c r="K51" s="147"/>
      <c r="L51" s="147"/>
      <c r="M51" s="147"/>
      <c r="N51" s="147"/>
      <c r="O51" s="147"/>
      <c r="P51" s="147"/>
      <c r="Q51" s="147"/>
      <c r="R51" s="517">
        <f t="shared" si="13"/>
        <v>69825</v>
      </c>
      <c r="S51" s="147">
        <f t="shared" si="15"/>
        <v>67730</v>
      </c>
      <c r="T51" s="147"/>
      <c r="U51" s="143"/>
    </row>
    <row r="52" spans="1:21" s="144" customFormat="1">
      <c r="A52" s="145" t="s">
        <v>155</v>
      </c>
      <c r="B52" s="146">
        <f t="shared" si="12"/>
        <v>271210</v>
      </c>
      <c r="C52" s="147">
        <v>263074</v>
      </c>
      <c r="D52" s="147">
        <v>8136</v>
      </c>
      <c r="E52" s="147">
        <f t="shared" si="14"/>
        <v>271210</v>
      </c>
      <c r="F52" s="147"/>
      <c r="G52" s="147"/>
      <c r="H52" s="147"/>
      <c r="I52" s="147"/>
      <c r="J52" s="147"/>
      <c r="K52" s="147"/>
      <c r="L52" s="147"/>
      <c r="M52" s="147"/>
      <c r="N52" s="147"/>
      <c r="O52" s="147"/>
      <c r="P52" s="147"/>
      <c r="Q52" s="147"/>
      <c r="R52" s="517">
        <f t="shared" si="13"/>
        <v>271210</v>
      </c>
      <c r="S52" s="147">
        <f t="shared" si="15"/>
        <v>263074</v>
      </c>
      <c r="T52" s="147"/>
      <c r="U52" s="143"/>
    </row>
    <row r="53" spans="1:21" s="144" customFormat="1" ht="34.5">
      <c r="A53" s="1151" t="s">
        <v>2755</v>
      </c>
      <c r="B53" s="146">
        <f t="shared" si="12"/>
        <v>209250</v>
      </c>
      <c r="C53" s="147">
        <f>77600+63050+12125+22310+26578+1350</f>
        <v>203013</v>
      </c>
      <c r="D53" s="147">
        <f>2400+1950+375+690+822</f>
        <v>6237</v>
      </c>
      <c r="E53" s="147">
        <f>B53</f>
        <v>209250</v>
      </c>
      <c r="F53" s="147"/>
      <c r="G53" s="147"/>
      <c r="H53" s="147"/>
      <c r="I53" s="147"/>
      <c r="J53" s="147"/>
      <c r="K53" s="147"/>
      <c r="L53" s="147"/>
      <c r="M53" s="147"/>
      <c r="N53" s="147"/>
      <c r="O53" s="147"/>
      <c r="P53" s="147"/>
      <c r="Q53" s="147"/>
      <c r="R53" s="517">
        <f t="shared" si="13"/>
        <v>209250</v>
      </c>
      <c r="S53" s="147">
        <v>126488</v>
      </c>
      <c r="T53" s="147"/>
      <c r="U53" s="143"/>
    </row>
    <row r="54" spans="1:21" s="153" customFormat="1">
      <c r="A54" s="149" t="s">
        <v>157</v>
      </c>
      <c r="B54" s="150">
        <f>SUM(C54:D54)</f>
        <v>2437390</v>
      </c>
      <c r="C54" s="150">
        <f t="shared" ref="C54:T54" si="16">SUM(C45:C53)</f>
        <v>2367091</v>
      </c>
      <c r="D54" s="150">
        <f t="shared" si="16"/>
        <v>70299</v>
      </c>
      <c r="E54" s="150">
        <f t="shared" si="16"/>
        <v>2437390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2437390</v>
      </c>
      <c r="S54" s="150">
        <f t="shared" si="16"/>
        <v>1618696</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10000</v>
      </c>
      <c r="C56" s="147">
        <v>9700</v>
      </c>
      <c r="D56" s="147">
        <v>300</v>
      </c>
      <c r="E56" s="147"/>
      <c r="F56" s="147">
        <v>10000</v>
      </c>
      <c r="G56" s="147"/>
      <c r="H56" s="147"/>
      <c r="I56" s="147"/>
      <c r="J56" s="147"/>
      <c r="K56" s="147"/>
      <c r="L56" s="147"/>
      <c r="M56" s="147"/>
      <c r="N56" s="147"/>
      <c r="O56" s="147"/>
      <c r="P56" s="147"/>
      <c r="Q56" s="147"/>
      <c r="R56" s="517">
        <f t="shared" ref="R56:R61" si="18">SUM(E56:Q56)</f>
        <v>10000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7">
        <f t="shared" si="18"/>
        <v>0</v>
      </c>
      <c r="S57" s="194"/>
      <c r="T57" s="194"/>
      <c r="U57" s="191"/>
    </row>
    <row r="58" spans="1:21" s="144" customFormat="1">
      <c r="A58" s="145" t="s">
        <v>156</v>
      </c>
      <c r="B58" s="146">
        <f t="shared" si="17"/>
        <v>15000</v>
      </c>
      <c r="C58" s="147">
        <v>14550</v>
      </c>
      <c r="D58" s="147">
        <v>450</v>
      </c>
      <c r="E58" s="147"/>
      <c r="F58" s="147">
        <f>B58</f>
        <v>15000</v>
      </c>
      <c r="G58" s="147"/>
      <c r="H58" s="147"/>
      <c r="I58" s="147"/>
      <c r="J58" s="147"/>
      <c r="K58" s="147"/>
      <c r="L58" s="147"/>
      <c r="M58" s="147"/>
      <c r="N58" s="147"/>
      <c r="O58" s="147"/>
      <c r="P58" s="147"/>
      <c r="Q58" s="147"/>
      <c r="R58" s="517">
        <f t="shared" si="18"/>
        <v>15000</v>
      </c>
      <c r="S58" s="148"/>
      <c r="T58" s="148"/>
      <c r="U58" s="143"/>
    </row>
    <row r="59" spans="1:21" s="144" customFormat="1">
      <c r="A59" s="284" t="s">
        <v>154</v>
      </c>
      <c r="B59" s="146">
        <f t="shared" si="17"/>
        <v>0</v>
      </c>
      <c r="C59" s="147"/>
      <c r="D59" s="147"/>
      <c r="E59" s="147"/>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7">
        <f t="shared" si="18"/>
        <v>0</v>
      </c>
      <c r="S60" s="148"/>
      <c r="T60" s="148"/>
      <c r="U60" s="143"/>
    </row>
    <row r="61" spans="1:21" s="144" customFormat="1">
      <c r="A61" s="1151" t="s">
        <v>2753</v>
      </c>
      <c r="B61" s="146">
        <f t="shared" si="17"/>
        <v>5000</v>
      </c>
      <c r="C61" s="147">
        <v>4850</v>
      </c>
      <c r="D61" s="147">
        <v>150</v>
      </c>
      <c r="E61" s="147"/>
      <c r="F61" s="147">
        <f>B61</f>
        <v>5000</v>
      </c>
      <c r="G61" s="147"/>
      <c r="H61" s="147"/>
      <c r="I61" s="147"/>
      <c r="J61" s="147"/>
      <c r="K61" s="147"/>
      <c r="L61" s="147"/>
      <c r="M61" s="147"/>
      <c r="N61" s="147"/>
      <c r="O61" s="147"/>
      <c r="P61" s="147"/>
      <c r="Q61" s="147"/>
      <c r="R61" s="517">
        <f t="shared" si="18"/>
        <v>5000</v>
      </c>
      <c r="S61" s="148"/>
      <c r="T61" s="148"/>
      <c r="U61" s="143"/>
    </row>
    <row r="62" spans="1:21" s="144" customFormat="1" ht="13.75" customHeight="1">
      <c r="A62" s="149" t="s">
        <v>301</v>
      </c>
      <c r="B62" s="146">
        <f>SUM(C62:D62)</f>
        <v>30000</v>
      </c>
      <c r="C62" s="146">
        <f t="shared" ref="C62:R62" si="19">SUM(C56:C61)</f>
        <v>29100</v>
      </c>
      <c r="D62" s="146">
        <f t="shared" si="19"/>
        <v>900</v>
      </c>
      <c r="E62" s="146">
        <f t="shared" si="19"/>
        <v>0</v>
      </c>
      <c r="F62" s="146">
        <f t="shared" si="19"/>
        <v>30000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30000</v>
      </c>
      <c r="S62" s="148"/>
      <c r="T62" s="148"/>
      <c r="U62" s="143"/>
    </row>
    <row r="63" spans="1:21" s="144" customFormat="1">
      <c r="A63" s="154" t="s">
        <v>302</v>
      </c>
      <c r="B63" s="146">
        <f t="shared" ref="B63:R63" si="20">SUM(B8+B11+B13+B14+B15+B26+B27+B38+B42+B43+B54+B62)</f>
        <v>33606000</v>
      </c>
      <c r="C63" s="146">
        <f t="shared" si="20"/>
        <v>32600643</v>
      </c>
      <c r="D63" s="146">
        <f t="shared" si="20"/>
        <v>1005357</v>
      </c>
      <c r="E63" s="146">
        <f t="shared" si="20"/>
        <v>6025182</v>
      </c>
      <c r="F63" s="146">
        <f t="shared" si="20"/>
        <v>1027884</v>
      </c>
      <c r="G63" s="146">
        <f t="shared" si="20"/>
        <v>0</v>
      </c>
      <c r="H63" s="146">
        <f t="shared" si="20"/>
        <v>13936934</v>
      </c>
      <c r="I63" s="146">
        <f t="shared" si="20"/>
        <v>3449000</v>
      </c>
      <c r="J63" s="146">
        <f t="shared" si="20"/>
        <v>0</v>
      </c>
      <c r="K63" s="146">
        <f t="shared" si="20"/>
        <v>8500000</v>
      </c>
      <c r="L63" s="146">
        <f t="shared" si="20"/>
        <v>667000</v>
      </c>
      <c r="M63" s="146">
        <f t="shared" si="20"/>
        <v>0</v>
      </c>
      <c r="N63" s="146">
        <f t="shared" si="20"/>
        <v>0</v>
      </c>
      <c r="O63" s="146">
        <f t="shared" si="20"/>
        <v>0</v>
      </c>
      <c r="P63" s="146">
        <f t="shared" si="20"/>
        <v>0</v>
      </c>
      <c r="Q63" s="146">
        <f t="shared" si="20"/>
        <v>0</v>
      </c>
      <c r="R63" s="343">
        <f t="shared" si="20"/>
        <v>33606000</v>
      </c>
      <c r="S63" s="146">
        <f>SUM(S10+S13+S14+S15+S26+S27+S38+S42+S43+S54)</f>
        <v>29416753</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v>
      </c>
      <c r="C65" s="147">
        <v>9700</v>
      </c>
      <c r="D65" s="147">
        <v>300</v>
      </c>
      <c r="E65" s="147">
        <f>B65</f>
        <v>10000</v>
      </c>
      <c r="F65" s="147"/>
      <c r="G65" s="147"/>
      <c r="H65" s="147"/>
      <c r="I65" s="147"/>
      <c r="J65" s="147"/>
      <c r="K65" s="147"/>
      <c r="L65" s="147"/>
      <c r="M65" s="147"/>
      <c r="N65" s="147"/>
      <c r="O65" s="147"/>
      <c r="P65" s="147"/>
      <c r="Q65" s="147"/>
      <c r="R65" s="517">
        <f>SUM(E65:Q65)</f>
        <v>10000</v>
      </c>
      <c r="S65" s="147">
        <f>C65</f>
        <v>9700</v>
      </c>
      <c r="T65" s="147"/>
      <c r="U65" s="143"/>
    </row>
    <row r="66" spans="1:21" s="144" customFormat="1" ht="24" customHeight="1">
      <c r="A66" s="284" t="s">
        <v>1641</v>
      </c>
      <c r="B66" s="146">
        <f>SUM(C66+D66)</f>
        <v>0</v>
      </c>
      <c r="C66" s="147"/>
      <c r="D66" s="147"/>
      <c r="E66" s="147">
        <f t="shared" ref="E66:E69" si="21">B66</f>
        <v>0</v>
      </c>
      <c r="F66" s="147"/>
      <c r="G66" s="147"/>
      <c r="H66" s="147"/>
      <c r="I66" s="147"/>
      <c r="J66" s="147"/>
      <c r="K66" s="147"/>
      <c r="L66" s="147"/>
      <c r="M66" s="147"/>
      <c r="N66" s="147"/>
      <c r="O66" s="147"/>
      <c r="P66" s="147"/>
      <c r="Q66" s="147"/>
      <c r="R66" s="517">
        <f>SUM(E66:Q66)</f>
        <v>0</v>
      </c>
      <c r="S66" s="147">
        <f t="shared" ref="S66:S68" si="22">C66</f>
        <v>0</v>
      </c>
      <c r="T66" s="147"/>
      <c r="U66" s="143"/>
    </row>
    <row r="67" spans="1:21" s="144" customFormat="1" ht="24" customHeight="1">
      <c r="A67" s="284" t="s">
        <v>1642</v>
      </c>
      <c r="B67" s="146">
        <f>SUM(C67+D67)</f>
        <v>10000</v>
      </c>
      <c r="C67" s="147">
        <v>9700</v>
      </c>
      <c r="D67" s="147">
        <v>300</v>
      </c>
      <c r="E67" s="147">
        <f t="shared" si="21"/>
        <v>10000</v>
      </c>
      <c r="F67" s="147"/>
      <c r="G67" s="147"/>
      <c r="H67" s="147"/>
      <c r="I67" s="147"/>
      <c r="J67" s="147"/>
      <c r="K67" s="147"/>
      <c r="L67" s="147"/>
      <c r="M67" s="147"/>
      <c r="N67" s="147"/>
      <c r="O67" s="147"/>
      <c r="P67" s="147"/>
      <c r="Q67" s="147"/>
      <c r="R67" s="517">
        <f>SUM(E67:Q67)</f>
        <v>10000</v>
      </c>
      <c r="S67" s="147">
        <f t="shared" si="22"/>
        <v>9700</v>
      </c>
      <c r="T67" s="147"/>
      <c r="U67" s="143"/>
    </row>
    <row r="68" spans="1:21" s="144" customFormat="1" ht="12" customHeight="1">
      <c r="A68" s="284" t="s">
        <v>1648</v>
      </c>
      <c r="B68" s="146">
        <f>SUM(C68+D68)</f>
        <v>0</v>
      </c>
      <c r="C68" s="147"/>
      <c r="D68" s="147"/>
      <c r="E68" s="147">
        <f t="shared" si="21"/>
        <v>0</v>
      </c>
      <c r="F68" s="147"/>
      <c r="G68" s="147"/>
      <c r="H68" s="147"/>
      <c r="I68" s="147"/>
      <c r="J68" s="147"/>
      <c r="K68" s="147"/>
      <c r="L68" s="147"/>
      <c r="M68" s="147"/>
      <c r="N68" s="147"/>
      <c r="O68" s="147"/>
      <c r="P68" s="147"/>
      <c r="Q68" s="147"/>
      <c r="R68" s="517">
        <f>SUM(E68:Q68)</f>
        <v>0</v>
      </c>
      <c r="S68" s="147">
        <f t="shared" si="22"/>
        <v>0</v>
      </c>
      <c r="T68" s="147"/>
      <c r="U68" s="143"/>
    </row>
    <row r="69" spans="1:21" s="144" customFormat="1">
      <c r="A69" s="1151" t="s">
        <v>2744</v>
      </c>
      <c r="B69" s="146">
        <f>SUM(C69+D69)</f>
        <v>35000</v>
      </c>
      <c r="C69" s="147">
        <f>33950</f>
        <v>33950</v>
      </c>
      <c r="D69" s="147">
        <f>1050</f>
        <v>1050</v>
      </c>
      <c r="E69" s="147">
        <f t="shared" si="21"/>
        <v>35000</v>
      </c>
      <c r="F69" s="147"/>
      <c r="G69" s="147"/>
      <c r="H69" s="147"/>
      <c r="I69" s="147"/>
      <c r="J69" s="147"/>
      <c r="K69" s="147"/>
      <c r="L69" s="147"/>
      <c r="M69" s="147"/>
      <c r="N69" s="147"/>
      <c r="O69" s="147"/>
      <c r="P69" s="147"/>
      <c r="Q69" s="147"/>
      <c r="R69" s="517">
        <f>SUM(E69:Q69)</f>
        <v>35000</v>
      </c>
      <c r="S69" s="147">
        <v>33950</v>
      </c>
      <c r="T69" s="147"/>
      <c r="U69" s="143"/>
    </row>
    <row r="70" spans="1:21" s="144" customFormat="1">
      <c r="A70" s="149" t="s">
        <v>1645</v>
      </c>
      <c r="B70" s="146">
        <f>SUM(C70:D70)</f>
        <v>55000</v>
      </c>
      <c r="C70" s="146">
        <f>SUM(C65:C69)</f>
        <v>53350</v>
      </c>
      <c r="D70" s="146">
        <f>SUM(D65:D69)</f>
        <v>1650</v>
      </c>
      <c r="E70" s="146">
        <f t="shared" ref="E70:T70" si="23">SUM(E65:E69)</f>
        <v>55000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3">
        <f t="shared" si="23"/>
        <v>55000</v>
      </c>
      <c r="S70" s="150">
        <f t="shared" si="23"/>
        <v>53350</v>
      </c>
      <c r="T70" s="150">
        <f t="shared" si="23"/>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126715</v>
      </c>
      <c r="C75" s="147">
        <v>126715</v>
      </c>
      <c r="D75" s="147"/>
      <c r="E75" s="147"/>
      <c r="F75" s="147">
        <f>B75</f>
        <v>126715</v>
      </c>
      <c r="G75" s="147"/>
      <c r="H75" s="147"/>
      <c r="I75" s="147"/>
      <c r="J75" s="147"/>
      <c r="K75" s="147"/>
      <c r="L75" s="147"/>
      <c r="M75" s="147"/>
      <c r="N75" s="147"/>
      <c r="O75" s="147"/>
      <c r="P75" s="147"/>
      <c r="Q75" s="147"/>
      <c r="R75" s="517">
        <f>SUM(E75:Q75)</f>
        <v>126715</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126715</v>
      </c>
      <c r="C77" s="146">
        <f>SUM(C72:C76)</f>
        <v>126715</v>
      </c>
      <c r="D77" s="146">
        <f>SUM(D72:D76)</f>
        <v>0</v>
      </c>
      <c r="E77" s="146">
        <f t="shared" ref="E77:Q77" si="24">SUM(E72:E76)</f>
        <v>0</v>
      </c>
      <c r="F77" s="146">
        <f t="shared" si="24"/>
        <v>126715</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3">
        <f>SUM(R72:R76)</f>
        <v>126715</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1369613</v>
      </c>
      <c r="C79" s="147">
        <v>1328525</v>
      </c>
      <c r="D79" s="147">
        <v>41088</v>
      </c>
      <c r="E79" s="147">
        <f>B79</f>
        <v>1369613</v>
      </c>
      <c r="F79" s="147"/>
      <c r="G79" s="147"/>
      <c r="H79" s="147"/>
      <c r="I79" s="147"/>
      <c r="J79" s="147"/>
      <c r="K79" s="147"/>
      <c r="L79" s="147"/>
      <c r="M79" s="147"/>
      <c r="N79" s="147"/>
      <c r="O79" s="147"/>
      <c r="P79" s="147"/>
      <c r="Q79" s="147"/>
      <c r="R79" s="517">
        <f>SUM(E79:Q79)</f>
        <v>1369613</v>
      </c>
      <c r="S79" s="147">
        <f>C79</f>
        <v>1328525</v>
      </c>
      <c r="T79" s="147"/>
      <c r="U79" s="143"/>
    </row>
    <row r="80" spans="1:21" s="144" customFormat="1">
      <c r="A80" s="284" t="s">
        <v>58</v>
      </c>
      <c r="B80" s="146">
        <f>SUM(C80:D80)</f>
        <v>100847</v>
      </c>
      <c r="C80" s="147">
        <v>97822</v>
      </c>
      <c r="D80" s="147">
        <v>3025</v>
      </c>
      <c r="E80" s="147">
        <f>B80</f>
        <v>100847</v>
      </c>
      <c r="F80" s="147"/>
      <c r="G80" s="147"/>
      <c r="H80" s="147"/>
      <c r="I80" s="147"/>
      <c r="J80" s="147"/>
      <c r="K80" s="147"/>
      <c r="L80" s="147"/>
      <c r="M80" s="147"/>
      <c r="N80" s="147"/>
      <c r="O80" s="147"/>
      <c r="P80" s="147"/>
      <c r="Q80" s="147"/>
      <c r="R80" s="517">
        <f>SUM(E80:Q80)</f>
        <v>100847</v>
      </c>
      <c r="S80" s="147">
        <f>C80</f>
        <v>97822</v>
      </c>
      <c r="T80" s="147"/>
      <c r="U80" s="143"/>
    </row>
    <row r="81" spans="1:21" s="144" customFormat="1">
      <c r="A81" s="149" t="s">
        <v>1209</v>
      </c>
      <c r="B81" s="146">
        <f>SUM(C81:D81)</f>
        <v>1470460</v>
      </c>
      <c r="C81" s="510">
        <f>SUM(C79:C80)</f>
        <v>1426347</v>
      </c>
      <c r="D81" s="510">
        <f t="shared" ref="D81:T81" si="25">SUM(D79:D80)</f>
        <v>44113</v>
      </c>
      <c r="E81" s="510">
        <f t="shared" si="25"/>
        <v>1470460</v>
      </c>
      <c r="F81" s="510">
        <f t="shared" si="25"/>
        <v>0</v>
      </c>
      <c r="G81" s="510">
        <f t="shared" si="25"/>
        <v>0</v>
      </c>
      <c r="H81" s="510">
        <f t="shared" si="25"/>
        <v>0</v>
      </c>
      <c r="I81" s="510">
        <f t="shared" si="25"/>
        <v>0</v>
      </c>
      <c r="J81" s="510">
        <f t="shared" si="25"/>
        <v>0</v>
      </c>
      <c r="K81" s="510">
        <f t="shared" si="25"/>
        <v>0</v>
      </c>
      <c r="L81" s="510">
        <f t="shared" si="25"/>
        <v>0</v>
      </c>
      <c r="M81" s="510">
        <f t="shared" si="25"/>
        <v>0</v>
      </c>
      <c r="N81" s="510">
        <f t="shared" si="25"/>
        <v>0</v>
      </c>
      <c r="O81" s="510">
        <f t="shared" si="25"/>
        <v>0</v>
      </c>
      <c r="P81" s="510">
        <f t="shared" si="25"/>
        <v>0</v>
      </c>
      <c r="Q81" s="510">
        <f t="shared" si="25"/>
        <v>0</v>
      </c>
      <c r="R81" s="510">
        <f t="shared" si="25"/>
        <v>1470460</v>
      </c>
      <c r="S81" s="510">
        <f t="shared" si="25"/>
        <v>1426347</v>
      </c>
      <c r="T81" s="510">
        <f t="shared" si="25"/>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6">SUM(C83+D83)</f>
        <v>43555</v>
      </c>
      <c r="C83" s="147">
        <v>42248</v>
      </c>
      <c r="D83" s="147">
        <v>1307</v>
      </c>
      <c r="E83" s="147"/>
      <c r="F83" s="147">
        <f>B83</f>
        <v>43555</v>
      </c>
      <c r="G83" s="147"/>
      <c r="H83" s="147"/>
      <c r="I83" s="147"/>
      <c r="J83" s="147"/>
      <c r="K83" s="147"/>
      <c r="L83" s="147"/>
      <c r="M83" s="147"/>
      <c r="N83" s="147"/>
      <c r="O83" s="147"/>
      <c r="P83" s="147"/>
      <c r="Q83" s="147"/>
      <c r="R83" s="517">
        <f t="shared" ref="R83:R95" si="27">SUM(E83:Q83)</f>
        <v>43555</v>
      </c>
      <c r="S83" s="148"/>
      <c r="T83" s="148"/>
      <c r="U83" s="143"/>
    </row>
    <row r="84" spans="1:21" s="144" customFormat="1">
      <c r="A84" s="145" t="s">
        <v>767</v>
      </c>
      <c r="B84" s="146">
        <f t="shared" si="26"/>
        <v>50000</v>
      </c>
      <c r="C84" s="147">
        <v>48500</v>
      </c>
      <c r="D84" s="147">
        <v>1500</v>
      </c>
      <c r="E84" s="147">
        <f>B84</f>
        <v>50000</v>
      </c>
      <c r="F84" s="147"/>
      <c r="G84" s="147"/>
      <c r="H84" s="147"/>
      <c r="I84" s="147"/>
      <c r="J84" s="147"/>
      <c r="K84" s="147"/>
      <c r="L84" s="147"/>
      <c r="M84" s="147"/>
      <c r="N84" s="147"/>
      <c r="O84" s="147"/>
      <c r="P84" s="147"/>
      <c r="Q84" s="147"/>
      <c r="R84" s="517">
        <f t="shared" si="27"/>
        <v>50000</v>
      </c>
      <c r="S84" s="147">
        <f>C84</f>
        <v>48500</v>
      </c>
      <c r="T84" s="147"/>
      <c r="U84" s="143"/>
    </row>
    <row r="85" spans="1:21" s="144" customFormat="1">
      <c r="A85" s="145" t="s">
        <v>768</v>
      </c>
      <c r="B85" s="146">
        <f t="shared" si="26"/>
        <v>1685067</v>
      </c>
      <c r="C85" s="147">
        <f>1252458+382057</f>
        <v>1634515</v>
      </c>
      <c r="D85" s="147">
        <f>38736+11816</f>
        <v>50552</v>
      </c>
      <c r="E85" s="147">
        <f t="shared" ref="E85:E95" si="28">B85</f>
        <v>1685067</v>
      </c>
      <c r="F85" s="147"/>
      <c r="G85" s="147"/>
      <c r="H85" s="147"/>
      <c r="I85" s="147"/>
      <c r="J85" s="147"/>
      <c r="K85" s="147"/>
      <c r="L85" s="147"/>
      <c r="M85" s="147"/>
      <c r="N85" s="147"/>
      <c r="O85" s="147"/>
      <c r="P85" s="147"/>
      <c r="Q85" s="147"/>
      <c r="R85" s="517">
        <f t="shared" si="27"/>
        <v>1685067</v>
      </c>
      <c r="S85" s="147">
        <f t="shared" ref="S85:S87" si="29">C85</f>
        <v>1634515</v>
      </c>
      <c r="T85" s="147"/>
      <c r="U85" s="143"/>
    </row>
    <row r="86" spans="1:21" s="144" customFormat="1">
      <c r="A86" s="145" t="s">
        <v>769</v>
      </c>
      <c r="B86" s="146">
        <f t="shared" si="26"/>
        <v>134437</v>
      </c>
      <c r="C86" s="147">
        <v>130404</v>
      </c>
      <c r="D86" s="147">
        <v>4033</v>
      </c>
      <c r="E86" s="147">
        <f t="shared" si="28"/>
        <v>134437</v>
      </c>
      <c r="F86" s="147"/>
      <c r="G86" s="147"/>
      <c r="H86" s="147"/>
      <c r="I86" s="147"/>
      <c r="J86" s="147"/>
      <c r="K86" s="147"/>
      <c r="L86" s="147"/>
      <c r="M86" s="147"/>
      <c r="N86" s="147"/>
      <c r="O86" s="147"/>
      <c r="P86" s="147"/>
      <c r="Q86" s="147"/>
      <c r="R86" s="517">
        <f t="shared" si="27"/>
        <v>134437</v>
      </c>
      <c r="S86" s="147">
        <f t="shared" si="29"/>
        <v>130404</v>
      </c>
      <c r="T86" s="147"/>
      <c r="U86" s="143"/>
    </row>
    <row r="87" spans="1:21" s="144" customFormat="1">
      <c r="A87" s="145" t="s">
        <v>770</v>
      </c>
      <c r="B87" s="146">
        <f t="shared" si="26"/>
        <v>0</v>
      </c>
      <c r="C87" s="147"/>
      <c r="D87" s="147"/>
      <c r="E87" s="147">
        <f t="shared" si="28"/>
        <v>0</v>
      </c>
      <c r="F87" s="147"/>
      <c r="G87" s="147"/>
      <c r="H87" s="147"/>
      <c r="I87" s="147"/>
      <c r="J87" s="147"/>
      <c r="K87" s="147"/>
      <c r="L87" s="147"/>
      <c r="M87" s="147"/>
      <c r="N87" s="147"/>
      <c r="O87" s="147"/>
      <c r="P87" s="147"/>
      <c r="Q87" s="147"/>
      <c r="R87" s="517">
        <f t="shared" si="27"/>
        <v>0</v>
      </c>
      <c r="S87" s="147">
        <f t="shared" si="29"/>
        <v>0</v>
      </c>
      <c r="T87" s="147"/>
      <c r="U87" s="143"/>
    </row>
    <row r="88" spans="1:21" s="144" customFormat="1">
      <c r="A88" s="145" t="s">
        <v>771</v>
      </c>
      <c r="B88" s="146">
        <f t="shared" si="26"/>
        <v>25000</v>
      </c>
      <c r="C88" s="147">
        <f>10000+15000</f>
        <v>25000</v>
      </c>
      <c r="D88" s="147"/>
      <c r="E88" s="147"/>
      <c r="F88" s="147">
        <f>B88</f>
        <v>25000</v>
      </c>
      <c r="G88" s="147"/>
      <c r="H88" s="147"/>
      <c r="I88" s="147"/>
      <c r="J88" s="147"/>
      <c r="K88" s="147"/>
      <c r="L88" s="147"/>
      <c r="M88" s="147"/>
      <c r="N88" s="147"/>
      <c r="O88" s="147"/>
      <c r="P88" s="147"/>
      <c r="Q88" s="147"/>
      <c r="R88" s="517">
        <f t="shared" si="27"/>
        <v>25000</v>
      </c>
      <c r="S88" s="148"/>
      <c r="T88" s="148"/>
      <c r="U88" s="143"/>
    </row>
    <row r="89" spans="1:21" s="144" customFormat="1">
      <c r="A89" s="145" t="s">
        <v>772</v>
      </c>
      <c r="B89" s="146">
        <f t="shared" si="26"/>
        <v>106425</v>
      </c>
      <c r="C89" s="147">
        <v>103232</v>
      </c>
      <c r="D89" s="147">
        <v>3193</v>
      </c>
      <c r="E89" s="147">
        <f t="shared" si="28"/>
        <v>106425</v>
      </c>
      <c r="F89" s="147"/>
      <c r="G89" s="147"/>
      <c r="H89" s="147"/>
      <c r="I89" s="147"/>
      <c r="J89" s="147"/>
      <c r="K89" s="147"/>
      <c r="L89" s="147"/>
      <c r="M89" s="147"/>
      <c r="N89" s="147"/>
      <c r="O89" s="147"/>
      <c r="P89" s="147"/>
      <c r="Q89" s="147"/>
      <c r="R89" s="517">
        <f t="shared" si="27"/>
        <v>106425</v>
      </c>
      <c r="S89" s="147">
        <f>C89</f>
        <v>103232</v>
      </c>
      <c r="T89" s="147"/>
      <c r="U89" s="143"/>
    </row>
    <row r="90" spans="1:21" s="144" customFormat="1">
      <c r="A90" s="145" t="s">
        <v>773</v>
      </c>
      <c r="B90" s="146">
        <f t="shared" si="26"/>
        <v>10000</v>
      </c>
      <c r="C90" s="147">
        <v>9700</v>
      </c>
      <c r="D90" s="147">
        <v>300</v>
      </c>
      <c r="E90" s="147">
        <f t="shared" si="28"/>
        <v>10000</v>
      </c>
      <c r="F90" s="147"/>
      <c r="G90" s="147"/>
      <c r="H90" s="147"/>
      <c r="I90" s="147"/>
      <c r="J90" s="147"/>
      <c r="K90" s="147"/>
      <c r="L90" s="147"/>
      <c r="M90" s="147"/>
      <c r="N90" s="147"/>
      <c r="O90" s="147"/>
      <c r="P90" s="147"/>
      <c r="Q90" s="147"/>
      <c r="R90" s="517">
        <f t="shared" si="27"/>
        <v>10000</v>
      </c>
      <c r="S90" s="147">
        <f t="shared" ref="S90:S95" si="30">C90</f>
        <v>9700</v>
      </c>
      <c r="T90" s="147"/>
      <c r="U90" s="143"/>
    </row>
    <row r="91" spans="1:21" s="144" customFormat="1">
      <c r="A91" s="145" t="s">
        <v>372</v>
      </c>
      <c r="B91" s="146">
        <f t="shared" si="26"/>
        <v>40000</v>
      </c>
      <c r="C91" s="147">
        <f>33950+4850</f>
        <v>38800</v>
      </c>
      <c r="D91" s="147">
        <f>1050+150</f>
        <v>1200</v>
      </c>
      <c r="E91" s="147">
        <f t="shared" si="28"/>
        <v>40000</v>
      </c>
      <c r="F91" s="147"/>
      <c r="G91" s="147"/>
      <c r="H91" s="147"/>
      <c r="I91" s="147"/>
      <c r="J91" s="147"/>
      <c r="K91" s="147"/>
      <c r="L91" s="147"/>
      <c r="M91" s="147"/>
      <c r="N91" s="147"/>
      <c r="O91" s="147"/>
      <c r="P91" s="147"/>
      <c r="Q91" s="147"/>
      <c r="R91" s="517">
        <f t="shared" si="27"/>
        <v>40000</v>
      </c>
      <c r="S91" s="147">
        <f t="shared" si="30"/>
        <v>38800</v>
      </c>
      <c r="T91" s="147"/>
      <c r="U91" s="143"/>
    </row>
    <row r="92" spans="1:21" s="144" customFormat="1">
      <c r="A92" s="284" t="s">
        <v>1211</v>
      </c>
      <c r="B92" s="146">
        <f t="shared" si="26"/>
        <v>15000</v>
      </c>
      <c r="C92" s="147">
        <v>14550</v>
      </c>
      <c r="D92" s="147">
        <v>450</v>
      </c>
      <c r="E92" s="147">
        <f t="shared" si="28"/>
        <v>15000</v>
      </c>
      <c r="F92" s="147"/>
      <c r="G92" s="147"/>
      <c r="H92" s="147"/>
      <c r="I92" s="147"/>
      <c r="J92" s="147"/>
      <c r="K92" s="147"/>
      <c r="L92" s="147"/>
      <c r="M92" s="147"/>
      <c r="N92" s="147"/>
      <c r="O92" s="147"/>
      <c r="P92" s="147"/>
      <c r="Q92" s="147"/>
      <c r="R92" s="517">
        <f t="shared" si="27"/>
        <v>15000</v>
      </c>
      <c r="S92" s="147">
        <f t="shared" si="30"/>
        <v>14550</v>
      </c>
      <c r="T92" s="147"/>
      <c r="U92" s="143"/>
    </row>
    <row r="93" spans="1:21" s="144" customFormat="1">
      <c r="A93" s="1151" t="s">
        <v>2740</v>
      </c>
      <c r="B93" s="146">
        <f t="shared" si="26"/>
        <v>250000</v>
      </c>
      <c r="C93" s="147">
        <v>242500</v>
      </c>
      <c r="D93" s="147">
        <v>7500</v>
      </c>
      <c r="E93" s="147">
        <f t="shared" si="28"/>
        <v>250000</v>
      </c>
      <c r="F93" s="147"/>
      <c r="G93" s="147"/>
      <c r="H93" s="147"/>
      <c r="I93" s="147"/>
      <c r="J93" s="147"/>
      <c r="K93" s="147"/>
      <c r="L93" s="147"/>
      <c r="M93" s="147"/>
      <c r="N93" s="147"/>
      <c r="O93" s="147"/>
      <c r="P93" s="147"/>
      <c r="Q93" s="147"/>
      <c r="R93" s="517">
        <f t="shared" si="27"/>
        <v>250000</v>
      </c>
      <c r="S93" s="147">
        <f t="shared" si="30"/>
        <v>242500</v>
      </c>
      <c r="T93" s="147"/>
      <c r="U93" s="143"/>
    </row>
    <row r="94" spans="1:21" s="144" customFormat="1" ht="34.5">
      <c r="A94" s="1151" t="s">
        <v>2754</v>
      </c>
      <c r="B94" s="146">
        <f t="shared" si="26"/>
        <v>255900</v>
      </c>
      <c r="C94" s="147">
        <f>145500+19400+33950+29100+9700+9700</f>
        <v>247350</v>
      </c>
      <c r="D94" s="147">
        <f>4500+600+1050+900+900+300+300</f>
        <v>8550</v>
      </c>
      <c r="E94" s="147">
        <f t="shared" si="28"/>
        <v>255900</v>
      </c>
      <c r="F94" s="147"/>
      <c r="G94" s="147"/>
      <c r="H94" s="147"/>
      <c r="I94" s="147"/>
      <c r="J94" s="147"/>
      <c r="K94" s="147"/>
      <c r="L94" s="147"/>
      <c r="M94" s="147"/>
      <c r="N94" s="147"/>
      <c r="O94" s="147"/>
      <c r="P94" s="147"/>
      <c r="Q94" s="147"/>
      <c r="R94" s="517">
        <f t="shared" si="27"/>
        <v>255900</v>
      </c>
      <c r="S94" s="147">
        <f t="shared" si="30"/>
        <v>247350</v>
      </c>
      <c r="T94" s="147"/>
      <c r="U94" s="143"/>
    </row>
    <row r="95" spans="1:21" s="144" customFormat="1">
      <c r="A95" s="1151" t="s">
        <v>2741</v>
      </c>
      <c r="B95" s="146">
        <f t="shared" si="26"/>
        <v>60000</v>
      </c>
      <c r="C95" s="147">
        <v>58200</v>
      </c>
      <c r="D95" s="147">
        <v>1800</v>
      </c>
      <c r="E95" s="147">
        <f t="shared" si="28"/>
        <v>60000</v>
      </c>
      <c r="F95" s="147"/>
      <c r="G95" s="147"/>
      <c r="H95" s="147"/>
      <c r="I95" s="147"/>
      <c r="J95" s="147"/>
      <c r="K95" s="147"/>
      <c r="L95" s="147"/>
      <c r="M95" s="147"/>
      <c r="N95" s="147"/>
      <c r="O95" s="147"/>
      <c r="P95" s="147"/>
      <c r="Q95" s="147"/>
      <c r="R95" s="517">
        <f t="shared" si="27"/>
        <v>60000</v>
      </c>
      <c r="S95" s="147">
        <f t="shared" si="30"/>
        <v>58200</v>
      </c>
      <c r="T95" s="147"/>
      <c r="U95" s="143"/>
    </row>
    <row r="96" spans="1:21" s="144" customFormat="1">
      <c r="A96" s="149" t="s">
        <v>774</v>
      </c>
      <c r="B96" s="146">
        <f>SUM(C96:D96)</f>
        <v>2675384</v>
      </c>
      <c r="C96" s="146">
        <f t="shared" ref="C96:R96" si="31">SUM(C83:C95)</f>
        <v>2594999</v>
      </c>
      <c r="D96" s="146">
        <f t="shared" si="31"/>
        <v>80385</v>
      </c>
      <c r="E96" s="146">
        <f t="shared" si="31"/>
        <v>2606829</v>
      </c>
      <c r="F96" s="146">
        <f t="shared" si="31"/>
        <v>68555</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3">
        <f t="shared" si="31"/>
        <v>2675384</v>
      </c>
      <c r="S96" s="150">
        <f>SUM(S84:S87,S89:S95)</f>
        <v>2527751</v>
      </c>
      <c r="T96" s="146">
        <f>SUM(T84:T87,T89:T95)</f>
        <v>0</v>
      </c>
      <c r="U96" s="143"/>
    </row>
    <row r="97" spans="1:21" s="144" customFormat="1">
      <c r="A97" s="149" t="s">
        <v>775</v>
      </c>
      <c r="B97" s="146">
        <f>SUM(C97:D97)</f>
        <v>37933559</v>
      </c>
      <c r="C97" s="146">
        <f t="shared" ref="C97:R97" si="32">SUM(C63+C70+C77+C81+C96)</f>
        <v>36802054</v>
      </c>
      <c r="D97" s="146">
        <f t="shared" si="32"/>
        <v>1131505</v>
      </c>
      <c r="E97" s="146">
        <f t="shared" si="32"/>
        <v>10157471</v>
      </c>
      <c r="F97" s="146">
        <f t="shared" si="32"/>
        <v>1223154</v>
      </c>
      <c r="G97" s="146">
        <f t="shared" si="32"/>
        <v>0</v>
      </c>
      <c r="H97" s="146">
        <f t="shared" si="32"/>
        <v>13936934</v>
      </c>
      <c r="I97" s="146">
        <f t="shared" si="32"/>
        <v>3449000</v>
      </c>
      <c r="J97" s="146">
        <f t="shared" si="32"/>
        <v>0</v>
      </c>
      <c r="K97" s="146">
        <f t="shared" si="32"/>
        <v>8500000</v>
      </c>
      <c r="L97" s="146">
        <f t="shared" si="32"/>
        <v>667000</v>
      </c>
      <c r="M97" s="146">
        <f t="shared" si="32"/>
        <v>0</v>
      </c>
      <c r="N97" s="146">
        <f t="shared" si="32"/>
        <v>0</v>
      </c>
      <c r="O97" s="146">
        <f t="shared" si="32"/>
        <v>0</v>
      </c>
      <c r="P97" s="146">
        <f t="shared" si="32"/>
        <v>0</v>
      </c>
      <c r="Q97" s="146">
        <f t="shared" si="32"/>
        <v>0</v>
      </c>
      <c r="R97" s="146">
        <f t="shared" si="32"/>
        <v>37933559</v>
      </c>
      <c r="S97" s="146">
        <f>SUM(S63+S70+S81+S96)</f>
        <v>33424201</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5013630</v>
      </c>
      <c r="C99" s="980">
        <v>4863221</v>
      </c>
      <c r="D99" s="980">
        <v>150409</v>
      </c>
      <c r="E99" s="980">
        <f>2500000-99197</f>
        <v>2400803</v>
      </c>
      <c r="F99" s="147"/>
      <c r="G99" s="147">
        <v>99197</v>
      </c>
      <c r="H99" s="147"/>
      <c r="I99" s="147"/>
      <c r="J99" s="147">
        <v>2513630</v>
      </c>
      <c r="K99" s="147"/>
      <c r="L99" s="147"/>
      <c r="M99" s="147"/>
      <c r="N99" s="147"/>
      <c r="O99" s="147"/>
      <c r="P99" s="147"/>
      <c r="Q99" s="147"/>
      <c r="R99" s="517">
        <f>SUM(E99:Q99)</f>
        <v>5013630</v>
      </c>
      <c r="S99" s="147">
        <f>C99</f>
        <v>4863221</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5013630</v>
      </c>
      <c r="C104" s="146">
        <f>SUM(C99:C103)</f>
        <v>4863221</v>
      </c>
      <c r="D104" s="146">
        <f t="shared" ref="D104:T104" si="33">SUM(D99:D103)</f>
        <v>150409</v>
      </c>
      <c r="E104" s="146">
        <f t="shared" si="33"/>
        <v>2400803</v>
      </c>
      <c r="F104" s="146">
        <f t="shared" si="33"/>
        <v>0</v>
      </c>
      <c r="G104" s="146">
        <f t="shared" si="33"/>
        <v>99197</v>
      </c>
      <c r="H104" s="146">
        <f t="shared" si="33"/>
        <v>0</v>
      </c>
      <c r="I104" s="146">
        <f t="shared" si="33"/>
        <v>0</v>
      </c>
      <c r="J104" s="146">
        <f t="shared" si="33"/>
        <v>2513630</v>
      </c>
      <c r="K104" s="146">
        <f t="shared" si="33"/>
        <v>0</v>
      </c>
      <c r="L104" s="146">
        <f t="shared" si="33"/>
        <v>0</v>
      </c>
      <c r="M104" s="146">
        <f t="shared" si="33"/>
        <v>0</v>
      </c>
      <c r="N104" s="146">
        <f t="shared" si="33"/>
        <v>0</v>
      </c>
      <c r="O104" s="146">
        <f t="shared" si="33"/>
        <v>0</v>
      </c>
      <c r="P104" s="146">
        <f t="shared" si="33"/>
        <v>0</v>
      </c>
      <c r="Q104" s="146">
        <f t="shared" si="33"/>
        <v>0</v>
      </c>
      <c r="R104" s="343">
        <f t="shared" si="33"/>
        <v>5013630</v>
      </c>
      <c r="S104" s="150">
        <f t="shared" si="33"/>
        <v>4863221</v>
      </c>
      <c r="T104" s="150">
        <f t="shared" si="33"/>
        <v>0</v>
      </c>
      <c r="U104" s="143"/>
    </row>
    <row r="105" spans="1:21" s="144" customFormat="1">
      <c r="A105" s="149" t="s">
        <v>780</v>
      </c>
      <c r="B105" s="150">
        <f>SUM(C105:D105)</f>
        <v>42947189</v>
      </c>
      <c r="C105" s="150">
        <f t="shared" ref="C105:R105" si="34">SUM(C97+C104)</f>
        <v>41665275</v>
      </c>
      <c r="D105" s="150">
        <f t="shared" si="34"/>
        <v>1281914</v>
      </c>
      <c r="E105" s="150">
        <f t="shared" si="34"/>
        <v>12558274</v>
      </c>
      <c r="F105" s="150">
        <f t="shared" si="34"/>
        <v>1223154</v>
      </c>
      <c r="G105" s="150">
        <f t="shared" si="34"/>
        <v>99197</v>
      </c>
      <c r="H105" s="150">
        <f t="shared" si="34"/>
        <v>13936934</v>
      </c>
      <c r="I105" s="150">
        <f t="shared" si="34"/>
        <v>3449000</v>
      </c>
      <c r="J105" s="150">
        <f t="shared" si="34"/>
        <v>2513630</v>
      </c>
      <c r="K105" s="150">
        <f t="shared" si="34"/>
        <v>8500000</v>
      </c>
      <c r="L105" s="150">
        <f t="shared" si="34"/>
        <v>667000</v>
      </c>
      <c r="M105" s="150">
        <f t="shared" si="34"/>
        <v>0</v>
      </c>
      <c r="N105" s="150">
        <f t="shared" si="34"/>
        <v>0</v>
      </c>
      <c r="O105" s="150">
        <f t="shared" si="34"/>
        <v>0</v>
      </c>
      <c r="P105" s="150">
        <f t="shared" si="34"/>
        <v>0</v>
      </c>
      <c r="Q105" s="150">
        <f t="shared" si="34"/>
        <v>0</v>
      </c>
      <c r="R105" s="343">
        <f t="shared" si="34"/>
        <v>42947189</v>
      </c>
      <c r="S105" s="150">
        <f>S97+S104</f>
        <v>38287422</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38287422</v>
      </c>
      <c r="T107" s="150">
        <f>T105+T106</f>
        <v>0</v>
      </c>
    </row>
    <row r="108" spans="1:21" s="189" customFormat="1">
      <c r="A108" s="162" t="s">
        <v>879</v>
      </c>
      <c r="B108" s="157"/>
      <c r="C108" s="157"/>
      <c r="D108" s="157"/>
      <c r="E108" s="302">
        <f>Application!AO640</f>
        <v>12558274</v>
      </c>
      <c r="F108" s="302">
        <f>Application!AO627</f>
        <v>1223154</v>
      </c>
      <c r="G108" s="302">
        <f>Application!AO628</f>
        <v>99197</v>
      </c>
      <c r="H108" s="302">
        <f>Application!AO629</f>
        <v>13936934</v>
      </c>
      <c r="I108" s="302">
        <f>Application!AO630</f>
        <v>3449000</v>
      </c>
      <c r="J108" s="302">
        <f>Application!AO631</f>
        <v>2513630</v>
      </c>
      <c r="K108" s="302">
        <f>Application!AO632</f>
        <v>8500000</v>
      </c>
      <c r="L108" s="302">
        <f>Application!AO633</f>
        <v>667000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71" t="s">
        <v>990</v>
      </c>
      <c r="E122" s="1871"/>
      <c r="F122" s="1871"/>
      <c r="G122" s="325"/>
      <c r="H122" s="325"/>
      <c r="I122" s="325"/>
      <c r="J122" s="325"/>
      <c r="K122" s="325"/>
      <c r="L122" s="325"/>
      <c r="M122" s="325"/>
      <c r="N122" s="325"/>
      <c r="O122" s="325"/>
      <c r="P122" s="325"/>
      <c r="Q122" s="325"/>
      <c r="R122" s="325"/>
      <c r="S122" s="325"/>
      <c r="T122" s="325"/>
      <c r="U122" s="327"/>
    </row>
    <row r="123" spans="1:21">
      <c r="A123" s="325" t="s">
        <v>991</v>
      </c>
      <c r="B123" s="334"/>
      <c r="C123" s="325"/>
      <c r="D123" s="1873" t="s">
        <v>1224</v>
      </c>
      <c r="E123" s="1781"/>
      <c r="F123" s="1781"/>
      <c r="G123" s="1781"/>
      <c r="H123" s="1781"/>
      <c r="I123" s="1781"/>
      <c r="J123" s="1781"/>
      <c r="K123" s="1781"/>
      <c r="L123" s="1781"/>
      <c r="M123" s="1781"/>
      <c r="N123" s="1781"/>
      <c r="O123" s="1781"/>
      <c r="P123" s="1781"/>
      <c r="Q123" s="1781"/>
      <c r="R123" s="1781"/>
      <c r="S123" s="1781"/>
      <c r="T123" s="325"/>
      <c r="U123" s="327"/>
    </row>
    <row r="124" spans="1:21" ht="12.5">
      <c r="A124" s="117" t="s">
        <v>992</v>
      </c>
      <c r="B124" s="334"/>
      <c r="C124" s="117"/>
      <c r="D124" s="1781"/>
      <c r="E124" s="1781"/>
      <c r="F124" s="1781"/>
      <c r="G124" s="1781"/>
      <c r="H124" s="1781"/>
      <c r="I124" s="1781"/>
      <c r="J124" s="1781"/>
      <c r="K124" s="1781"/>
      <c r="L124" s="1781"/>
      <c r="M124" s="1781"/>
      <c r="N124" s="1781"/>
      <c r="O124" s="1781"/>
      <c r="P124" s="1781"/>
      <c r="Q124" s="1781"/>
      <c r="R124" s="1781"/>
      <c r="S124" s="1781"/>
      <c r="T124" s="325"/>
      <c r="U124" s="327"/>
    </row>
    <row r="125" spans="1:21" ht="12.5">
      <c r="A125" s="117" t="s">
        <v>993</v>
      </c>
      <c r="B125" s="334"/>
      <c r="C125" s="117"/>
      <c r="D125" s="1781"/>
      <c r="E125" s="1781"/>
      <c r="F125" s="1781"/>
      <c r="G125" s="1781"/>
      <c r="H125" s="1781"/>
      <c r="I125" s="1781"/>
      <c r="J125" s="1781"/>
      <c r="K125" s="1781"/>
      <c r="L125" s="1781"/>
      <c r="M125" s="1781"/>
      <c r="N125" s="1781"/>
      <c r="O125" s="1781"/>
      <c r="P125" s="1781"/>
      <c r="Q125" s="1781"/>
      <c r="R125" s="1781"/>
      <c r="S125" s="1781"/>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8"/>
      <c r="E128" s="1868"/>
      <c r="F128" s="1868"/>
      <c r="G128" s="1868"/>
      <c r="H128" s="1868"/>
      <c r="I128" s="117"/>
      <c r="J128" s="1869"/>
      <c r="K128" s="1869"/>
      <c r="L128" s="117"/>
      <c r="M128" s="117"/>
      <c r="N128" s="117"/>
      <c r="O128" s="117"/>
      <c r="P128" s="117"/>
      <c r="Q128" s="117"/>
      <c r="R128" s="117"/>
      <c r="S128" s="117"/>
      <c r="T128" s="325"/>
      <c r="U128" s="327"/>
    </row>
    <row r="129" spans="1:21" ht="12.5">
      <c r="A129" s="117" t="s">
        <v>300</v>
      </c>
      <c r="B129" s="334"/>
      <c r="C129" s="117"/>
      <c r="D129" s="1870" t="s">
        <v>997</v>
      </c>
      <c r="E129" s="1870"/>
      <c r="F129" s="1870"/>
      <c r="G129" s="1870"/>
      <c r="H129" s="1870"/>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74" t="s">
        <v>1000</v>
      </c>
      <c r="E132" s="1874"/>
      <c r="F132" s="1874"/>
      <c r="G132" s="1874"/>
      <c r="H132" s="1874"/>
      <c r="I132" s="117"/>
      <c r="J132" s="1874" t="s">
        <v>1001</v>
      </c>
      <c r="K132" s="1874"/>
      <c r="L132" s="1874"/>
      <c r="M132" s="1874"/>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5"/>
      <c r="B138" s="1868"/>
      <c r="C138" s="1868"/>
      <c r="D138" s="329"/>
      <c r="E138" s="1869"/>
      <c r="F138" s="1869"/>
      <c r="G138" s="117"/>
      <c r="H138" s="117"/>
      <c r="I138" s="117"/>
      <c r="J138" s="117"/>
      <c r="K138" s="117"/>
      <c r="L138" s="117"/>
      <c r="M138" s="117"/>
      <c r="N138" s="117"/>
      <c r="O138" s="117"/>
      <c r="P138" s="117"/>
      <c r="Q138" s="117"/>
      <c r="R138" s="117"/>
      <c r="S138" s="117"/>
      <c r="T138" s="331"/>
      <c r="U138" s="332"/>
    </row>
    <row r="139" spans="1:21" ht="13">
      <c r="A139" s="1872" t="s">
        <v>1004</v>
      </c>
      <c r="B139" s="1872"/>
      <c r="C139" s="1872"/>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D57" sqref="D57"/>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8" t="s">
        <v>1227</v>
      </c>
      <c r="B1" s="1879"/>
      <c r="C1" s="1879"/>
      <c r="D1" s="1879"/>
      <c r="E1" s="1879"/>
      <c r="F1" s="1879"/>
      <c r="G1" s="1879"/>
      <c r="H1" s="1879"/>
      <c r="I1" s="1879"/>
      <c r="J1" s="1880"/>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1935150</v>
      </c>
      <c r="C4" s="363"/>
      <c r="D4" s="363">
        <f>B4</f>
        <v>1935150</v>
      </c>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1935150</v>
      </c>
      <c r="C8" s="362">
        <f>SUM(C4:C7)</f>
        <v>0</v>
      </c>
      <c r="D8" s="362">
        <f>SUM(D4:D7)</f>
        <v>1935150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1935150</v>
      </c>
      <c r="C12" s="362">
        <f>SUM(C8+C11)</f>
        <v>0</v>
      </c>
      <c r="D12" s="362">
        <f>SUM(D8+D11)</f>
        <v>1935150</v>
      </c>
      <c r="E12" s="364"/>
      <c r="F12" s="364"/>
      <c r="G12" s="364"/>
      <c r="H12" s="364"/>
      <c r="I12" s="364"/>
      <c r="J12" s="364"/>
      <c r="K12" s="360"/>
    </row>
    <row r="13" spans="1:11" s="361" customFormat="1">
      <c r="A13" s="367" t="s">
        <v>902</v>
      </c>
      <c r="B13" s="362">
        <f>'Sources and Uses Budget'!C13</f>
        <v>471245</v>
      </c>
      <c r="C13" s="363"/>
      <c r="D13" s="363">
        <f>B13</f>
        <v>471245</v>
      </c>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18778091</v>
      </c>
      <c r="C30" s="363"/>
      <c r="D30" s="363">
        <f>B30</f>
        <v>18778091</v>
      </c>
      <c r="E30" s="362">
        <f>'Sources and Uses Budget'!S30</f>
        <v>18778091</v>
      </c>
      <c r="F30" s="363"/>
      <c r="G30" s="363">
        <f>E30</f>
        <v>18778091</v>
      </c>
      <c r="H30" s="362">
        <f>'Sources and Uses Budget'!T30</f>
        <v>0</v>
      </c>
      <c r="I30" s="363"/>
      <c r="J30" s="363"/>
      <c r="K30" s="360"/>
    </row>
    <row r="31" spans="1:11" s="361" customFormat="1">
      <c r="A31" s="145" t="s">
        <v>600</v>
      </c>
      <c r="B31" s="362">
        <f>'Sources and Uses Budget'!C31</f>
        <v>1583694</v>
      </c>
      <c r="C31" s="363"/>
      <c r="D31" s="363">
        <f>B31</f>
        <v>1583694</v>
      </c>
      <c r="E31" s="362">
        <f>'Sources and Uses Budget'!S31</f>
        <v>1583694</v>
      </c>
      <c r="F31" s="363"/>
      <c r="G31" s="363">
        <f>E31</f>
        <v>1583694</v>
      </c>
      <c r="H31" s="362">
        <f>'Sources and Uses Budget'!T31</f>
        <v>0</v>
      </c>
      <c r="I31" s="363"/>
      <c r="J31" s="363"/>
      <c r="K31" s="360"/>
    </row>
    <row r="32" spans="1:11" s="361" customFormat="1">
      <c r="A32" s="145" t="s">
        <v>137</v>
      </c>
      <c r="B32" s="362">
        <f>'Sources and Uses Budget'!C32</f>
        <v>1583694</v>
      </c>
      <c r="C32" s="363"/>
      <c r="D32" s="363">
        <f>B32</f>
        <v>1583694</v>
      </c>
      <c r="E32" s="362">
        <f>'Sources and Uses Budget'!S32</f>
        <v>1583694</v>
      </c>
      <c r="F32" s="363"/>
      <c r="G32" s="363">
        <f>E32</f>
        <v>1583694</v>
      </c>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3846115</v>
      </c>
      <c r="C34" s="363"/>
      <c r="D34" s="363">
        <f>B34</f>
        <v>3846115</v>
      </c>
      <c r="E34" s="362">
        <f>'Sources and Uses Budget'!S34</f>
        <v>3846115</v>
      </c>
      <c r="F34" s="363"/>
      <c r="G34" s="363">
        <f>E34</f>
        <v>3846115</v>
      </c>
      <c r="H34" s="362">
        <f>'Sources and Uses Budget'!T34</f>
        <v>0</v>
      </c>
      <c r="I34" s="363"/>
      <c r="J34" s="363"/>
      <c r="K34" s="360"/>
    </row>
    <row r="35" spans="1:11" s="361" customFormat="1">
      <c r="A35" s="145" t="s">
        <v>140</v>
      </c>
      <c r="B35" s="362">
        <f>'Sources and Uses Budget'!C35</f>
        <v>515832</v>
      </c>
      <c r="C35" s="363"/>
      <c r="D35" s="363">
        <f>B35</f>
        <v>515832</v>
      </c>
      <c r="E35" s="362">
        <f>'Sources and Uses Budget'!S35</f>
        <v>515832</v>
      </c>
      <c r="F35" s="363"/>
      <c r="G35" s="363">
        <f>E35</f>
        <v>515832</v>
      </c>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P&amp;P Bond</v>
      </c>
      <c r="B37" s="362">
        <f>'Sources and Uses Budget'!C37</f>
        <v>263074</v>
      </c>
      <c r="C37" s="363"/>
      <c r="D37" s="363">
        <f>B37</f>
        <v>263074</v>
      </c>
      <c r="E37" s="362">
        <f>'Sources and Uses Budget'!S37</f>
        <v>263074</v>
      </c>
      <c r="F37" s="363"/>
      <c r="G37" s="363">
        <f>E37</f>
        <v>263074</v>
      </c>
      <c r="H37" s="362">
        <f>'Sources and Uses Budget'!T37</f>
        <v>0</v>
      </c>
      <c r="I37" s="363"/>
      <c r="J37" s="363"/>
      <c r="K37" s="360"/>
    </row>
    <row r="38" spans="1:11" s="361" customFormat="1">
      <c r="A38" s="366" t="s">
        <v>143</v>
      </c>
      <c r="B38" s="362">
        <f>'Sources and Uses Budget'!C38</f>
        <v>26570500</v>
      </c>
      <c r="C38" s="362">
        <f>SUM(C29:C37)</f>
        <v>0</v>
      </c>
      <c r="D38" s="362">
        <f>SUM(D29:D37)</f>
        <v>26570500</v>
      </c>
      <c r="E38" s="362">
        <f>'Sources and Uses Budget'!S38</f>
        <v>26570500</v>
      </c>
      <c r="F38" s="368">
        <f>SUM(F29:F37)</f>
        <v>0</v>
      </c>
      <c r="G38" s="368">
        <f>SUM(G29:G37)</f>
        <v>26570500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906718</v>
      </c>
      <c r="C40" s="363"/>
      <c r="D40" s="363">
        <f>B40</f>
        <v>906718</v>
      </c>
      <c r="E40" s="362">
        <f>'Sources and Uses Budget'!S40</f>
        <v>906718</v>
      </c>
      <c r="F40" s="363"/>
      <c r="G40" s="363">
        <f>E40</f>
        <v>906718</v>
      </c>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906718</v>
      </c>
      <c r="C42" s="362">
        <f>SUM(C39:C41)</f>
        <v>0</v>
      </c>
      <c r="D42" s="362">
        <f>SUM(D39:D41)</f>
        <v>906718</v>
      </c>
      <c r="E42" s="362">
        <f>'Sources and Uses Budget'!S42</f>
        <v>906718</v>
      </c>
      <c r="F42" s="368">
        <f>SUM(F40:F41)</f>
        <v>0</v>
      </c>
      <c r="G42" s="368">
        <f>SUM(G40:G41)</f>
        <v>906718</v>
      </c>
      <c r="H42" s="362">
        <f>'Sources and Uses Budget'!T42</f>
        <v>0</v>
      </c>
      <c r="I42" s="368">
        <f>SUM(I40:I41)</f>
        <v>0</v>
      </c>
      <c r="J42" s="368">
        <f>SUM(J40:J41)</f>
        <v>0</v>
      </c>
      <c r="K42" s="360"/>
    </row>
    <row r="43" spans="1:11" s="361" customFormat="1">
      <c r="A43" s="366" t="s">
        <v>148</v>
      </c>
      <c r="B43" s="362">
        <f>'Sources and Uses Budget'!C43</f>
        <v>320839</v>
      </c>
      <c r="C43" s="363"/>
      <c r="D43" s="363">
        <f>B43</f>
        <v>320839</v>
      </c>
      <c r="E43" s="362">
        <f>'Sources and Uses Budget'!S43</f>
        <v>320839</v>
      </c>
      <c r="F43" s="363"/>
      <c r="G43" s="363">
        <f>E43</f>
        <v>320839</v>
      </c>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1357033</v>
      </c>
      <c r="C45" s="363"/>
      <c r="D45" s="363">
        <f>B45</f>
        <v>1357033</v>
      </c>
      <c r="E45" s="362">
        <f>'Sources and Uses Budget'!S45</f>
        <v>904972</v>
      </c>
      <c r="F45" s="363"/>
      <c r="G45" s="363">
        <f>E45</f>
        <v>904972</v>
      </c>
      <c r="H45" s="362">
        <f>'Sources and Uses Budget'!T45</f>
        <v>0</v>
      </c>
      <c r="I45" s="363"/>
      <c r="J45" s="363"/>
      <c r="K45" s="360"/>
    </row>
    <row r="46" spans="1:11" s="361" customFormat="1">
      <c r="A46" s="365" t="s">
        <v>151</v>
      </c>
      <c r="B46" s="362">
        <f>'Sources and Uses Budget'!C46</f>
        <v>207932</v>
      </c>
      <c r="C46" s="363"/>
      <c r="D46" s="363">
        <f>B46</f>
        <v>207932</v>
      </c>
      <c r="E46" s="362">
        <f>'Sources and Uses Budget'!S46</f>
        <v>207932</v>
      </c>
      <c r="F46" s="363"/>
      <c r="G46" s="363">
        <f>E46</f>
        <v>207932</v>
      </c>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f t="shared" ref="G47:G52" si="0">E47</f>
        <v>0</v>
      </c>
      <c r="H47" s="362">
        <f>'Sources and Uses Budget'!T47</f>
        <v>0</v>
      </c>
      <c r="I47" s="363"/>
      <c r="J47" s="363"/>
      <c r="K47" s="360"/>
    </row>
    <row r="48" spans="1:11" s="361" customFormat="1">
      <c r="A48" s="365" t="s">
        <v>153</v>
      </c>
      <c r="B48" s="362">
        <f>'Sources and Uses Budget'!C48</f>
        <v>170707</v>
      </c>
      <c r="C48" s="363"/>
      <c r="D48" s="363">
        <f>B48</f>
        <v>170707</v>
      </c>
      <c r="E48" s="362">
        <f>'Sources and Uses Budget'!S48</f>
        <v>0</v>
      </c>
      <c r="F48" s="363"/>
      <c r="G48" s="363">
        <f t="shared" si="0"/>
        <v>0</v>
      </c>
      <c r="H48" s="362">
        <f>'Sources and Uses Budget'!T48</f>
        <v>0</v>
      </c>
      <c r="I48" s="363"/>
      <c r="J48" s="363"/>
      <c r="K48" s="360"/>
    </row>
    <row r="49" spans="1:11" s="361" customFormat="1">
      <c r="A49" s="284" t="s">
        <v>57</v>
      </c>
      <c r="B49" s="362">
        <f>'Sources and Uses Budget'!C49</f>
        <v>49102</v>
      </c>
      <c r="C49" s="363"/>
      <c r="D49" s="363">
        <f t="shared" ref="D49:D52" si="1">B49</f>
        <v>49102</v>
      </c>
      <c r="E49" s="362">
        <f>'Sources and Uses Budget'!S49</f>
        <v>0</v>
      </c>
      <c r="F49" s="363"/>
      <c r="G49" s="363">
        <f t="shared" si="0"/>
        <v>0</v>
      </c>
      <c r="H49" s="362">
        <f>'Sources and Uses Budget'!T49</f>
        <v>0</v>
      </c>
      <c r="I49" s="363"/>
      <c r="J49" s="363"/>
      <c r="K49" s="360"/>
    </row>
    <row r="50" spans="1:11" s="361" customFormat="1">
      <c r="A50" s="365" t="s">
        <v>156</v>
      </c>
      <c r="B50" s="362">
        <f>'Sources and Uses Budget'!C50</f>
        <v>48500</v>
      </c>
      <c r="C50" s="363"/>
      <c r="D50" s="363">
        <f t="shared" si="1"/>
        <v>48500</v>
      </c>
      <c r="E50" s="362">
        <f>'Sources and Uses Budget'!S50</f>
        <v>48500</v>
      </c>
      <c r="F50" s="363"/>
      <c r="G50" s="363">
        <f t="shared" si="0"/>
        <v>48500</v>
      </c>
      <c r="H50" s="362">
        <f>'Sources and Uses Budget'!T50</f>
        <v>0</v>
      </c>
      <c r="I50" s="363"/>
      <c r="J50" s="363"/>
      <c r="K50" s="360"/>
    </row>
    <row r="51" spans="1:11" s="361" customFormat="1">
      <c r="A51" s="365" t="s">
        <v>154</v>
      </c>
      <c r="B51" s="362">
        <f>'Sources and Uses Budget'!C51</f>
        <v>67730</v>
      </c>
      <c r="C51" s="363"/>
      <c r="D51" s="363">
        <f t="shared" si="1"/>
        <v>67730</v>
      </c>
      <c r="E51" s="362">
        <f>'Sources and Uses Budget'!S51</f>
        <v>67730</v>
      </c>
      <c r="F51" s="363"/>
      <c r="G51" s="363">
        <f t="shared" si="0"/>
        <v>67730</v>
      </c>
      <c r="H51" s="362">
        <f>'Sources and Uses Budget'!T51</f>
        <v>0</v>
      </c>
      <c r="I51" s="363"/>
      <c r="J51" s="363"/>
      <c r="K51" s="360"/>
    </row>
    <row r="52" spans="1:11" s="361" customFormat="1">
      <c r="A52" s="365" t="s">
        <v>155</v>
      </c>
      <c r="B52" s="362">
        <f>'Sources and Uses Budget'!C52</f>
        <v>263074</v>
      </c>
      <c r="C52" s="363"/>
      <c r="D52" s="363">
        <f t="shared" si="1"/>
        <v>263074</v>
      </c>
      <c r="E52" s="362">
        <f>'Sources and Uses Budget'!S52</f>
        <v>263074</v>
      </c>
      <c r="F52" s="363"/>
      <c r="G52" s="363">
        <f t="shared" si="0"/>
        <v>263074</v>
      </c>
      <c r="H52" s="362">
        <f>'Sources and Uses Budget'!T52</f>
        <v>0</v>
      </c>
      <c r="I52" s="363"/>
      <c r="J52" s="363"/>
      <c r="K52" s="360"/>
    </row>
    <row r="53" spans="1:11" s="361" customFormat="1" ht="46">
      <c r="A53" s="365" t="str">
        <f>'Sources and Uses Budget'!$A53</f>
        <v>Other: Construction-Lender Legal, Bond Counsel, Bond Trustee Fee and Counsel, lender 3rd party costs, lender monitoring fee</v>
      </c>
      <c r="B53" s="362">
        <f>'Sources and Uses Budget'!C53</f>
        <v>203013</v>
      </c>
      <c r="C53" s="363"/>
      <c r="D53" s="363">
        <f>B53</f>
        <v>203013</v>
      </c>
      <c r="E53" s="362">
        <f>'Sources and Uses Budget'!S53</f>
        <v>126488</v>
      </c>
      <c r="F53" s="363"/>
      <c r="G53" s="363">
        <f>E53</f>
        <v>126488</v>
      </c>
      <c r="H53" s="362">
        <f>'Sources and Uses Budget'!T53</f>
        <v>0</v>
      </c>
      <c r="I53" s="363"/>
      <c r="J53" s="363"/>
      <c r="K53" s="360"/>
    </row>
    <row r="54" spans="1:11" s="370" customFormat="1">
      <c r="A54" s="366" t="s">
        <v>157</v>
      </c>
      <c r="B54" s="362">
        <f>'Sources and Uses Budget'!C54</f>
        <v>2367091</v>
      </c>
      <c r="C54" s="368">
        <f>SUM(C45:C53)</f>
        <v>0</v>
      </c>
      <c r="D54" s="368">
        <f>SUM(D45:D53)</f>
        <v>2367091</v>
      </c>
      <c r="E54" s="362">
        <f>'Sources and Uses Budget'!S54</f>
        <v>1618696</v>
      </c>
      <c r="F54" s="368">
        <f>SUM(F45:F53)</f>
        <v>0</v>
      </c>
      <c r="G54" s="368">
        <f>SUM(G45:G53)</f>
        <v>1618696</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9700</v>
      </c>
      <c r="C56" s="363"/>
      <c r="D56" s="363">
        <v>9700</v>
      </c>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14550</v>
      </c>
      <c r="C58" s="363"/>
      <c r="D58" s="363">
        <f>B58</f>
        <v>14550</v>
      </c>
      <c r="E58" s="364"/>
      <c r="F58" s="364"/>
      <c r="G58" s="364"/>
      <c r="H58" s="364"/>
      <c r="I58" s="364"/>
      <c r="J58" s="364"/>
      <c r="K58" s="360"/>
    </row>
    <row r="59" spans="1:11" s="361" customFormat="1">
      <c r="A59" s="365" t="s">
        <v>154</v>
      </c>
      <c r="B59" s="362">
        <f>'Sources and Uses Budget'!C59</f>
        <v>0</v>
      </c>
      <c r="C59" s="363"/>
      <c r="D59" s="363">
        <f t="shared" ref="D59:D61" si="2">B59</f>
        <v>0</v>
      </c>
      <c r="E59" s="364"/>
      <c r="F59" s="364"/>
      <c r="G59" s="364"/>
      <c r="H59" s="364"/>
      <c r="I59" s="364"/>
      <c r="J59" s="364"/>
      <c r="K59" s="360"/>
    </row>
    <row r="60" spans="1:11" s="361" customFormat="1">
      <c r="A60" s="365" t="s">
        <v>155</v>
      </c>
      <c r="B60" s="362">
        <f>'Sources and Uses Budget'!C60</f>
        <v>0</v>
      </c>
      <c r="C60" s="363"/>
      <c r="D60" s="363">
        <f t="shared" si="2"/>
        <v>0</v>
      </c>
      <c r="E60" s="364"/>
      <c r="F60" s="364"/>
      <c r="G60" s="364"/>
      <c r="H60" s="364"/>
      <c r="I60" s="364"/>
      <c r="J60" s="364"/>
      <c r="K60" s="360"/>
    </row>
    <row r="61" spans="1:11" s="361" customFormat="1">
      <c r="A61" s="365" t="str">
        <f>'Sources and Uses Budget'!$A61</f>
        <v>Other: Permanent Loan Legal</v>
      </c>
      <c r="B61" s="362">
        <f>'Sources and Uses Budget'!C61</f>
        <v>4850</v>
      </c>
      <c r="C61" s="363"/>
      <c r="D61" s="363">
        <f t="shared" si="2"/>
        <v>4850</v>
      </c>
      <c r="E61" s="364"/>
      <c r="F61" s="364"/>
      <c r="G61" s="364"/>
      <c r="H61" s="364"/>
      <c r="I61" s="364"/>
      <c r="J61" s="364"/>
      <c r="K61" s="360"/>
    </row>
    <row r="62" spans="1:11" s="361" customFormat="1" ht="13.75" customHeight="1">
      <c r="A62" s="366" t="s">
        <v>301</v>
      </c>
      <c r="B62" s="362">
        <f>'Sources and Uses Budget'!C62</f>
        <v>29100</v>
      </c>
      <c r="C62" s="362">
        <f>SUM(C56:C61)</f>
        <v>0</v>
      </c>
      <c r="D62" s="362">
        <f>SUM(D56:D61)</f>
        <v>29100</v>
      </c>
      <c r="E62" s="364"/>
      <c r="F62" s="364"/>
      <c r="G62" s="364"/>
      <c r="H62" s="364"/>
      <c r="I62" s="364"/>
      <c r="J62" s="364"/>
      <c r="K62" s="360"/>
    </row>
    <row r="63" spans="1:11" s="361" customFormat="1">
      <c r="A63" s="371" t="s">
        <v>302</v>
      </c>
      <c r="B63" s="362">
        <f>'Sources and Uses Budget'!C63</f>
        <v>32600643</v>
      </c>
      <c r="C63" s="362">
        <f>SUM(C8+C11+C13+C14+C15+C26+C27+C38+C42+C43+C54+C62)</f>
        <v>0</v>
      </c>
      <c r="D63" s="362">
        <f>SUM(D8+D11+D13+D14+D15+D26+D27+D38+D42+D43+D54+D62)</f>
        <v>32600643</v>
      </c>
      <c r="E63" s="362">
        <f>'Sources and Uses Budget'!S63</f>
        <v>29416753</v>
      </c>
      <c r="F63" s="362">
        <f>SUM(F10+F13+F14+F15+F26+F27+F38+F42+F43+F54)</f>
        <v>0</v>
      </c>
      <c r="G63" s="362">
        <f>SUM(G10+G13+G14+G15+G26+G27+G38+G42+G43+G54)</f>
        <v>29416753</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9700</v>
      </c>
      <c r="C65" s="363"/>
      <c r="D65" s="363">
        <f>B65</f>
        <v>9700</v>
      </c>
      <c r="E65" s="362">
        <f>'Sources and Uses Budget'!S65</f>
        <v>9700</v>
      </c>
      <c r="F65" s="363"/>
      <c r="G65" s="363">
        <f>E65</f>
        <v>9700</v>
      </c>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9700</v>
      </c>
      <c r="C67" s="363"/>
      <c r="D67" s="363">
        <f>B67</f>
        <v>9700</v>
      </c>
      <c r="E67" s="362">
        <f>'Sources and Uses Budget'!S67</f>
        <v>9700</v>
      </c>
      <c r="F67" s="363"/>
      <c r="G67" s="363">
        <f>E67</f>
        <v>9700</v>
      </c>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Transaction-Construction</v>
      </c>
      <c r="B69" s="362">
        <f>'Sources and Uses Budget'!C69</f>
        <v>33950</v>
      </c>
      <c r="C69" s="363"/>
      <c r="D69" s="363">
        <f>B69</f>
        <v>33950</v>
      </c>
      <c r="E69" s="362">
        <f>'Sources and Uses Budget'!S69</f>
        <v>33950</v>
      </c>
      <c r="F69" s="363"/>
      <c r="G69" s="363">
        <f>E69</f>
        <v>33950</v>
      </c>
      <c r="H69" s="362">
        <f>'Sources and Uses Budget'!T69</f>
        <v>0</v>
      </c>
      <c r="I69" s="363"/>
      <c r="J69" s="363"/>
      <c r="K69" s="360"/>
    </row>
    <row r="70" spans="1:11" s="361" customFormat="1">
      <c r="A70" s="366" t="s">
        <v>601</v>
      </c>
      <c r="B70" s="362">
        <f>'Sources and Uses Budget'!C70</f>
        <v>53350</v>
      </c>
      <c r="C70" s="362">
        <f>SUM(C64:C69)</f>
        <v>0</v>
      </c>
      <c r="D70" s="362">
        <f>SUM(D64:D69)</f>
        <v>53350</v>
      </c>
      <c r="E70" s="362">
        <f>'Sources and Uses Budget'!S70</f>
        <v>53350</v>
      </c>
      <c r="F70" s="368">
        <f>SUM(F65:F69)</f>
        <v>0</v>
      </c>
      <c r="G70" s="368">
        <f>SUM(G65:G69)</f>
        <v>53350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126715</v>
      </c>
      <c r="C75" s="363"/>
      <c r="D75" s="363">
        <f>B75</f>
        <v>126715</v>
      </c>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126715</v>
      </c>
      <c r="C77" s="362">
        <f>SUM(C72:C76)</f>
        <v>0</v>
      </c>
      <c r="D77" s="362">
        <f>SUM(D72:D76)</f>
        <v>126715</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1328525</v>
      </c>
      <c r="C79" s="363"/>
      <c r="D79" s="363">
        <f>B79</f>
        <v>1328525</v>
      </c>
      <c r="E79" s="362">
        <f>'Sources and Uses Budget'!S79</f>
        <v>1328525</v>
      </c>
      <c r="F79" s="363"/>
      <c r="G79" s="363">
        <f>E79</f>
        <v>1328525</v>
      </c>
      <c r="H79" s="362">
        <f>'Sources and Uses Budget'!T79</f>
        <v>0</v>
      </c>
      <c r="I79" s="363"/>
      <c r="J79" s="363"/>
      <c r="K79" s="360"/>
    </row>
    <row r="80" spans="1:11" s="361" customFormat="1">
      <c r="A80" s="365" t="s">
        <v>58</v>
      </c>
      <c r="B80" s="362">
        <f>'Sources and Uses Budget'!C80</f>
        <v>97822</v>
      </c>
      <c r="C80" s="363"/>
      <c r="D80" s="363">
        <f>B80</f>
        <v>97822</v>
      </c>
      <c r="E80" s="362">
        <f>'Sources and Uses Budget'!S80</f>
        <v>97822</v>
      </c>
      <c r="F80" s="363"/>
      <c r="G80" s="363">
        <f>E80</f>
        <v>97822</v>
      </c>
      <c r="H80" s="362">
        <f>'Sources and Uses Budget'!T80</f>
        <v>0</v>
      </c>
      <c r="I80" s="363"/>
      <c r="J80" s="363"/>
      <c r="K80" s="360"/>
    </row>
    <row r="81" spans="1:11" s="361" customFormat="1">
      <c r="A81" s="366" t="s">
        <v>1209</v>
      </c>
      <c r="B81" s="362">
        <f>'Sources and Uses Budget'!C81</f>
        <v>1426347</v>
      </c>
      <c r="C81" s="362">
        <f>SUM(C79:C80)</f>
        <v>0</v>
      </c>
      <c r="D81" s="362">
        <f>SUM(D79:D80)</f>
        <v>1426347</v>
      </c>
      <c r="E81" s="362">
        <f>'Sources and Uses Budget'!S81</f>
        <v>1426347</v>
      </c>
      <c r="F81" s="362">
        <f>SUM(F79:F80)</f>
        <v>0</v>
      </c>
      <c r="G81" s="362">
        <f>SUM(G79:G80)</f>
        <v>1426347</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42248</v>
      </c>
      <c r="C83" s="363"/>
      <c r="D83" s="363">
        <f>B83</f>
        <v>42248</v>
      </c>
      <c r="E83" s="364"/>
      <c r="F83" s="364"/>
      <c r="G83" s="364"/>
      <c r="H83" s="364"/>
      <c r="I83" s="364"/>
      <c r="J83" s="364"/>
      <c r="K83" s="360"/>
    </row>
    <row r="84" spans="1:11" s="361" customFormat="1">
      <c r="A84" s="145" t="s">
        <v>767</v>
      </c>
      <c r="B84" s="362">
        <f>'Sources and Uses Budget'!C84</f>
        <v>48500</v>
      </c>
      <c r="C84" s="363"/>
      <c r="D84" s="363">
        <f>B84</f>
        <v>48500</v>
      </c>
      <c r="E84" s="362">
        <f>'Sources and Uses Budget'!S84</f>
        <v>48500</v>
      </c>
      <c r="F84" s="363"/>
      <c r="G84" s="363">
        <f>E84</f>
        <v>48500</v>
      </c>
      <c r="H84" s="362">
        <f>'Sources and Uses Budget'!T84</f>
        <v>0</v>
      </c>
      <c r="I84" s="363"/>
      <c r="J84" s="363"/>
      <c r="K84" s="360"/>
    </row>
    <row r="85" spans="1:11" s="361" customFormat="1">
      <c r="A85" s="145" t="s">
        <v>768</v>
      </c>
      <c r="B85" s="362">
        <f>'Sources and Uses Budget'!C85</f>
        <v>1634515</v>
      </c>
      <c r="C85" s="363"/>
      <c r="D85" s="363">
        <f>B85</f>
        <v>1634515</v>
      </c>
      <c r="E85" s="362">
        <f>'Sources and Uses Budget'!S85</f>
        <v>1634515</v>
      </c>
      <c r="F85" s="363"/>
      <c r="G85" s="363">
        <f>E85</f>
        <v>1634515</v>
      </c>
      <c r="H85" s="362">
        <f>'Sources and Uses Budget'!T85</f>
        <v>0</v>
      </c>
      <c r="I85" s="363"/>
      <c r="J85" s="363"/>
      <c r="K85" s="360"/>
    </row>
    <row r="86" spans="1:11" s="361" customFormat="1">
      <c r="A86" s="145" t="s">
        <v>769</v>
      </c>
      <c r="B86" s="362">
        <f>'Sources and Uses Budget'!C86</f>
        <v>130404</v>
      </c>
      <c r="C86" s="363"/>
      <c r="D86" s="363">
        <f>B86</f>
        <v>130404</v>
      </c>
      <c r="E86" s="362">
        <f>'Sources and Uses Budget'!S86</f>
        <v>130404</v>
      </c>
      <c r="F86" s="363"/>
      <c r="G86" s="363">
        <f>E86</f>
        <v>130404</v>
      </c>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25000</v>
      </c>
      <c r="C88" s="363"/>
      <c r="D88" s="363">
        <f t="shared" ref="D88:D95" si="3">B88</f>
        <v>25000</v>
      </c>
      <c r="E88" s="364"/>
      <c r="F88" s="364"/>
      <c r="G88" s="364"/>
      <c r="H88" s="364"/>
      <c r="I88" s="364"/>
      <c r="J88" s="364"/>
      <c r="K88" s="360"/>
    </row>
    <row r="89" spans="1:11" s="361" customFormat="1">
      <c r="A89" s="145" t="s">
        <v>772</v>
      </c>
      <c r="B89" s="362">
        <f>'Sources and Uses Budget'!C89</f>
        <v>103232</v>
      </c>
      <c r="C89" s="363"/>
      <c r="D89" s="363">
        <f t="shared" si="3"/>
        <v>103232</v>
      </c>
      <c r="E89" s="362">
        <f>'Sources and Uses Budget'!S89</f>
        <v>103232</v>
      </c>
      <c r="F89" s="363"/>
      <c r="G89" s="363">
        <f t="shared" ref="G89:G95" si="4">E89</f>
        <v>103232</v>
      </c>
      <c r="H89" s="362">
        <f>'Sources and Uses Budget'!T89</f>
        <v>0</v>
      </c>
      <c r="I89" s="363"/>
      <c r="J89" s="363"/>
      <c r="K89" s="360"/>
    </row>
    <row r="90" spans="1:11" s="361" customFormat="1">
      <c r="A90" s="145" t="s">
        <v>773</v>
      </c>
      <c r="B90" s="362">
        <f>'Sources and Uses Budget'!C90</f>
        <v>9700</v>
      </c>
      <c r="C90" s="363"/>
      <c r="D90" s="363">
        <f t="shared" si="3"/>
        <v>9700</v>
      </c>
      <c r="E90" s="362">
        <f>'Sources and Uses Budget'!S90</f>
        <v>9700</v>
      </c>
      <c r="F90" s="363"/>
      <c r="G90" s="363">
        <f t="shared" si="4"/>
        <v>9700</v>
      </c>
      <c r="H90" s="362">
        <f>'Sources and Uses Budget'!T90</f>
        <v>0</v>
      </c>
      <c r="I90" s="363"/>
      <c r="J90" s="363"/>
      <c r="K90" s="360"/>
    </row>
    <row r="91" spans="1:11" s="361" customFormat="1">
      <c r="A91" s="155" t="s">
        <v>372</v>
      </c>
      <c r="B91" s="362">
        <f>'Sources and Uses Budget'!C91</f>
        <v>38800</v>
      </c>
      <c r="C91" s="363"/>
      <c r="D91" s="363">
        <f t="shared" si="3"/>
        <v>38800</v>
      </c>
      <c r="E91" s="362">
        <f>'Sources and Uses Budget'!S91</f>
        <v>38800</v>
      </c>
      <c r="F91" s="363"/>
      <c r="G91" s="363">
        <f t="shared" si="4"/>
        <v>38800</v>
      </c>
      <c r="H91" s="362">
        <f>'Sources and Uses Budget'!T91</f>
        <v>0</v>
      </c>
      <c r="I91" s="363"/>
      <c r="J91" s="363"/>
      <c r="K91" s="360"/>
    </row>
    <row r="92" spans="1:11" s="361" customFormat="1">
      <c r="A92" s="509" t="s">
        <v>1211</v>
      </c>
      <c r="B92" s="362">
        <f>'Sources and Uses Budget'!C92</f>
        <v>14550</v>
      </c>
      <c r="C92" s="363"/>
      <c r="D92" s="363">
        <f t="shared" si="3"/>
        <v>14550</v>
      </c>
      <c r="E92" s="362">
        <f>'Sources and Uses Budget'!S92</f>
        <v>14550</v>
      </c>
      <c r="F92" s="363"/>
      <c r="G92" s="363">
        <f t="shared" si="4"/>
        <v>14550</v>
      </c>
      <c r="H92" s="362">
        <f>'Sources and Uses Budget'!T92</f>
        <v>0</v>
      </c>
      <c r="I92" s="363"/>
      <c r="J92" s="363"/>
      <c r="K92" s="360"/>
    </row>
    <row r="93" spans="1:11" s="361" customFormat="1">
      <c r="A93" s="365" t="str">
        <f>'Sources and Uses Budget'!$A93</f>
        <v>Other: Utility Connection Fees</v>
      </c>
      <c r="B93" s="362">
        <f>'Sources and Uses Budget'!C93</f>
        <v>242500</v>
      </c>
      <c r="C93" s="363"/>
      <c r="D93" s="363">
        <f t="shared" si="3"/>
        <v>242500</v>
      </c>
      <c r="E93" s="362">
        <f>'Sources and Uses Budget'!S93</f>
        <v>242500</v>
      </c>
      <c r="F93" s="363"/>
      <c r="G93" s="363">
        <f t="shared" si="4"/>
        <v>242500</v>
      </c>
      <c r="H93" s="362">
        <f>'Sources and Uses Budget'!T93</f>
        <v>0</v>
      </c>
      <c r="I93" s="363"/>
      <c r="J93" s="363"/>
      <c r="K93" s="360"/>
    </row>
    <row r="94" spans="1:11" s="361" customFormat="1" ht="34.5">
      <c r="A94" s="365" t="str">
        <f>'Sources and Uses Budget'!$A94</f>
        <v>Other: Misc Consultants, LEED Doc/CASp, landscape, survey, geotechnical,entitlements consultant</v>
      </c>
      <c r="B94" s="362">
        <f>'Sources and Uses Budget'!C94</f>
        <v>247350</v>
      </c>
      <c r="C94" s="363"/>
      <c r="D94" s="363">
        <f t="shared" si="3"/>
        <v>247350</v>
      </c>
      <c r="E94" s="362">
        <f>'Sources and Uses Budget'!S94</f>
        <v>247350</v>
      </c>
      <c r="F94" s="363"/>
      <c r="G94" s="363">
        <f t="shared" si="4"/>
        <v>247350</v>
      </c>
      <c r="H94" s="362">
        <f>'Sources and Uses Budget'!T94</f>
        <v>0</v>
      </c>
      <c r="I94" s="363"/>
      <c r="J94" s="363"/>
      <c r="K94" s="360"/>
    </row>
    <row r="95" spans="1:11" s="361" customFormat="1">
      <c r="A95" s="365" t="str">
        <f>'Sources and Uses Budget'!$A95</f>
        <v>Other: Deputy Inspections</v>
      </c>
      <c r="B95" s="362">
        <f>'Sources and Uses Budget'!C95</f>
        <v>58200</v>
      </c>
      <c r="C95" s="363"/>
      <c r="D95" s="363">
        <f t="shared" si="3"/>
        <v>58200</v>
      </c>
      <c r="E95" s="362">
        <f>'Sources and Uses Budget'!S95</f>
        <v>58200</v>
      </c>
      <c r="F95" s="363"/>
      <c r="G95" s="363">
        <f t="shared" si="4"/>
        <v>58200</v>
      </c>
      <c r="H95" s="362">
        <f>'Sources and Uses Budget'!T95</f>
        <v>0</v>
      </c>
      <c r="I95" s="363"/>
      <c r="J95" s="363"/>
      <c r="K95" s="360"/>
    </row>
    <row r="96" spans="1:11" s="361" customFormat="1">
      <c r="A96" s="366" t="s">
        <v>774</v>
      </c>
      <c r="B96" s="362">
        <f>'Sources and Uses Budget'!C96</f>
        <v>2594999</v>
      </c>
      <c r="C96" s="362">
        <f>SUM(C83:C95)</f>
        <v>0</v>
      </c>
      <c r="D96" s="362">
        <f>SUM(D83:D95)</f>
        <v>2594999</v>
      </c>
      <c r="E96" s="362">
        <f>'Sources and Uses Budget'!S96</f>
        <v>2527751</v>
      </c>
      <c r="F96" s="368">
        <f>SUM(F84:F87,F89:F95)</f>
        <v>0</v>
      </c>
      <c r="G96" s="368">
        <f>SUM(G84:G87,G89:G95)</f>
        <v>2527751</v>
      </c>
      <c r="H96" s="362">
        <f>'Sources and Uses Budget'!T96</f>
        <v>0</v>
      </c>
      <c r="I96" s="362">
        <f>SUM(I84:I87,I89:I95)</f>
        <v>0</v>
      </c>
      <c r="J96" s="362">
        <f>SUM(J84:J87,J89:J95)</f>
        <v>0</v>
      </c>
      <c r="K96" s="360"/>
    </row>
    <row r="97" spans="1:11" s="361" customFormat="1">
      <c r="A97" s="366" t="s">
        <v>1029</v>
      </c>
      <c r="B97" s="362">
        <f>'Sources and Uses Budget'!C97</f>
        <v>36802054</v>
      </c>
      <c r="C97" s="362">
        <f>SUM(C63+C70+C77+C81+C96)</f>
        <v>0</v>
      </c>
      <c r="D97" s="362">
        <f>SUM(D63+D70+D77+D81+D96)</f>
        <v>36802054</v>
      </c>
      <c r="E97" s="362">
        <f>'Sources and Uses Budget'!S97</f>
        <v>33424201</v>
      </c>
      <c r="F97" s="368">
        <f>SUM(+F63+F70+F81+F96)</f>
        <v>0</v>
      </c>
      <c r="G97" s="368">
        <f>SUM(+G63+G70+G81+G96)</f>
        <v>33424201</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4863221</v>
      </c>
      <c r="C99" s="363"/>
      <c r="D99" s="363">
        <f>B99</f>
        <v>4863221</v>
      </c>
      <c r="E99" s="362">
        <f>'Sources and Uses Budget'!S99</f>
        <v>4863221</v>
      </c>
      <c r="F99" s="363"/>
      <c r="G99" s="363">
        <f>E99</f>
        <v>4863221</v>
      </c>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4863221</v>
      </c>
      <c r="C104" s="362">
        <f>SUM(C99:C103)</f>
        <v>0</v>
      </c>
      <c r="D104" s="362">
        <f>SUM(D99:D103)</f>
        <v>4863221</v>
      </c>
      <c r="E104" s="362">
        <f>'Sources and Uses Budget'!S104</f>
        <v>4863221</v>
      </c>
      <c r="F104" s="368">
        <f>SUM(F99:F103)</f>
        <v>0</v>
      </c>
      <c r="G104" s="368">
        <f>SUM(G99:G103)</f>
        <v>4863221</v>
      </c>
      <c r="H104" s="362">
        <f>'Sources and Uses Budget'!T104</f>
        <v>0</v>
      </c>
      <c r="I104" s="368">
        <f>SUM(I99:I103)</f>
        <v>0</v>
      </c>
      <c r="J104" s="368">
        <f>SUM(J99:J103)</f>
        <v>0</v>
      </c>
      <c r="K104" s="360"/>
    </row>
    <row r="105" spans="1:11" s="361" customFormat="1">
      <c r="A105" s="366" t="s">
        <v>1030</v>
      </c>
      <c r="B105" s="362">
        <f>'Sources and Uses Budget'!C105</f>
        <v>41665275</v>
      </c>
      <c r="C105" s="368">
        <f>SUM(C97+C104)</f>
        <v>0</v>
      </c>
      <c r="D105" s="368">
        <f>SUM(D97+D104)</f>
        <v>41665275</v>
      </c>
      <c r="E105" s="362">
        <f>'Sources and Uses Budget'!S105</f>
        <v>38287422</v>
      </c>
      <c r="F105" s="368">
        <f>F97+F104</f>
        <v>0</v>
      </c>
      <c r="G105" s="368">
        <f>G97+G104</f>
        <v>38287422</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38287422</v>
      </c>
      <c r="F107" s="368">
        <f>F105+F106</f>
        <v>0</v>
      </c>
      <c r="G107" s="368">
        <f>G105+G106</f>
        <v>38287422</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6"/>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7"/>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9" t="s">
        <v>2460</v>
      </c>
      <c r="B1" s="2330"/>
      <c r="C1" s="2330"/>
      <c r="D1" s="2330"/>
      <c r="E1" s="2330"/>
      <c r="F1" s="2330"/>
      <c r="G1" s="2330"/>
      <c r="H1" s="2330"/>
      <c r="I1" s="2330"/>
      <c r="J1" s="2330"/>
      <c r="K1" s="2330"/>
      <c r="L1" s="2330"/>
      <c r="M1" s="2330"/>
      <c r="N1" s="2330"/>
      <c r="O1" s="2330"/>
      <c r="P1" s="2330"/>
      <c r="Q1" s="2330"/>
      <c r="R1" s="2330"/>
      <c r="S1" s="2330"/>
      <c r="T1" s="2330"/>
      <c r="U1" s="2330"/>
      <c r="V1" s="2330"/>
      <c r="W1" s="2330"/>
      <c r="X1" s="2330"/>
      <c r="Y1" s="2330"/>
      <c r="Z1" s="2330"/>
      <c r="AA1" s="2330"/>
      <c r="AB1" s="2330"/>
      <c r="AC1" s="2330"/>
      <c r="AD1" s="2330"/>
      <c r="AE1" s="2330"/>
      <c r="AF1" s="2330"/>
      <c r="AG1" s="2330"/>
      <c r="AH1" s="2330"/>
      <c r="AI1" s="2330"/>
      <c r="AJ1" s="2330"/>
      <c r="AK1" s="2330"/>
      <c r="AL1" s="2330"/>
      <c r="AM1" s="2330"/>
      <c r="AN1" s="2330"/>
      <c r="AO1" s="2330"/>
      <c r="AP1" s="2330"/>
      <c r="AQ1" s="2330"/>
      <c r="AR1" s="2330"/>
      <c r="AS1" s="2330"/>
      <c r="AT1" s="2330"/>
      <c r="AU1" s="2330"/>
      <c r="AV1" s="2330"/>
      <c r="AW1" s="2330"/>
      <c r="AX1" s="2330"/>
      <c r="AY1" s="2330"/>
      <c r="AZ1" s="2330"/>
      <c r="BA1" s="2330"/>
      <c r="BB1" s="2330"/>
      <c r="BC1" s="2330"/>
      <c r="BD1" s="2330"/>
      <c r="BE1" s="2331"/>
    </row>
    <row r="2" spans="1:65" ht="15.75" customHeight="1">
      <c r="A2" s="2332" t="s">
        <v>2459</v>
      </c>
      <c r="B2" s="2333"/>
      <c r="C2" s="2333"/>
      <c r="D2" s="2333"/>
      <c r="E2" s="2333"/>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333"/>
      <c r="AZ2" s="2333"/>
      <c r="BA2" s="2333"/>
      <c r="BB2" s="2333"/>
      <c r="BC2" s="2333"/>
      <c r="BD2" s="2333"/>
      <c r="BE2" s="233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21" t="str">
        <f>IF(Application!H18="","",Application!H18)</f>
        <v>Greenfield Family Apartments</v>
      </c>
      <c r="M4" s="2322"/>
      <c r="N4" s="2322"/>
      <c r="O4" s="2322"/>
      <c r="P4" s="2322"/>
      <c r="Q4" s="2322"/>
      <c r="R4" s="2322"/>
      <c r="S4" s="2322"/>
      <c r="T4" s="2322"/>
      <c r="U4" s="2322"/>
      <c r="V4" s="2322"/>
      <c r="W4" s="2322"/>
      <c r="X4" s="2322"/>
      <c r="Y4" s="2322"/>
      <c r="Z4" s="2322"/>
      <c r="AA4" s="2322"/>
      <c r="AB4" s="2322"/>
      <c r="AC4" s="2323"/>
      <c r="AD4" s="1192"/>
      <c r="AE4" s="1192"/>
      <c r="AF4" s="2317" t="s">
        <v>2458</v>
      </c>
      <c r="AG4" s="2317"/>
      <c r="AH4" s="2317"/>
      <c r="AI4" s="2317"/>
      <c r="AJ4" s="2317"/>
      <c r="AK4" s="2317"/>
      <c r="AL4" s="2317"/>
      <c r="AM4" s="2317"/>
      <c r="AN4" s="2317"/>
      <c r="AO4" s="2317"/>
      <c r="AP4" s="2318"/>
      <c r="AQ4" s="2319"/>
      <c r="AR4" s="2319"/>
      <c r="AS4" s="2319"/>
      <c r="AT4" s="2319"/>
      <c r="AU4" s="231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7" t="s">
        <v>2457</v>
      </c>
      <c r="AG5" s="2317"/>
      <c r="AH5" s="2317"/>
      <c r="AI5" s="2317"/>
      <c r="AJ5" s="2317"/>
      <c r="AK5" s="2317"/>
      <c r="AL5" s="2317"/>
      <c r="AM5" s="2317"/>
      <c r="AN5" s="2317"/>
      <c r="AO5" s="2317"/>
      <c r="AP5" s="2318"/>
      <c r="AQ5" s="2319"/>
      <c r="AR5" s="2319"/>
      <c r="AS5" s="2319"/>
      <c r="AT5" s="2319"/>
      <c r="AU5" s="2319"/>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21" t="str">
        <f>IF(Application!H16="","",Application!H16)</f>
        <v>Greenfield Apartments Associates, L.P.</v>
      </c>
      <c r="M6" s="2322"/>
      <c r="N6" s="2322"/>
      <c r="O6" s="2322"/>
      <c r="P6" s="2322"/>
      <c r="Q6" s="2322"/>
      <c r="R6" s="2322"/>
      <c r="S6" s="2322"/>
      <c r="T6" s="2322"/>
      <c r="U6" s="2322"/>
      <c r="V6" s="2322"/>
      <c r="W6" s="2322"/>
      <c r="X6" s="2322"/>
      <c r="Y6" s="2322"/>
      <c r="Z6" s="2322"/>
      <c r="AA6" s="2322"/>
      <c r="AB6" s="2322"/>
      <c r="AC6" s="2323"/>
      <c r="AD6" s="1192"/>
      <c r="AE6" s="1192"/>
      <c r="AF6" s="2324" t="s">
        <v>2455</v>
      </c>
      <c r="AG6" s="2324"/>
      <c r="AH6" s="2324"/>
      <c r="AI6" s="2324"/>
      <c r="AJ6" s="2324"/>
      <c r="AK6" s="2324"/>
      <c r="AL6" s="2324"/>
      <c r="AM6" s="2324"/>
      <c r="AN6" s="2324"/>
      <c r="AO6" s="2324"/>
      <c r="AP6" s="2325"/>
      <c r="AQ6" s="2325"/>
      <c r="AR6" s="2325"/>
      <c r="AS6" s="2325"/>
      <c r="AT6" s="2325"/>
      <c r="AU6" s="2325"/>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4" t="s">
        <v>2454</v>
      </c>
      <c r="AG7" s="2324"/>
      <c r="AH7" s="2324"/>
      <c r="AI7" s="2324"/>
      <c r="AJ7" s="2324"/>
      <c r="AK7" s="2324"/>
      <c r="AL7" s="2324"/>
      <c r="AM7" s="2324"/>
      <c r="AN7" s="2324"/>
      <c r="AO7" s="2324"/>
      <c r="AP7" s="2325"/>
      <c r="AQ7" s="2325"/>
      <c r="AR7" s="2325"/>
      <c r="AS7" s="2325"/>
      <c r="AT7" s="2325"/>
      <c r="AU7" s="2325"/>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6" t="str">
        <f>Application!T197</f>
        <v>No</v>
      </c>
      <c r="AC8" s="2327"/>
      <c r="AD8" s="2328"/>
      <c r="AE8" s="1192"/>
      <c r="AF8" s="2324" t="s">
        <v>2452</v>
      </c>
      <c r="AG8" s="2324"/>
      <c r="AH8" s="2324"/>
      <c r="AI8" s="2324"/>
      <c r="AJ8" s="2324"/>
      <c r="AK8" s="2324"/>
      <c r="AL8" s="2324"/>
      <c r="AM8" s="2324"/>
      <c r="AN8" s="2324"/>
      <c r="AO8" s="2324"/>
      <c r="AP8" s="2325" t="s">
        <v>2100</v>
      </c>
      <c r="AQ8" s="2325"/>
      <c r="AR8" s="2325"/>
      <c r="AS8" s="2325"/>
      <c r="AT8" s="2325"/>
      <c r="AU8" s="2325"/>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7" t="s">
        <v>2451</v>
      </c>
      <c r="AG9" s="2317"/>
      <c r="AH9" s="2317"/>
      <c r="AI9" s="2317"/>
      <c r="AJ9" s="2317"/>
      <c r="AK9" s="2317"/>
      <c r="AL9" s="2317"/>
      <c r="AM9" s="2317"/>
      <c r="AN9" s="2317"/>
      <c r="AO9" s="2317"/>
      <c r="AP9" s="2318"/>
      <c r="AQ9" s="2319"/>
      <c r="AR9" s="2319"/>
      <c r="AS9" s="2319"/>
      <c r="AT9" s="2319"/>
      <c r="AU9" s="2319"/>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2320">
        <f>Application!AO627</f>
        <v>1223154</v>
      </c>
      <c r="O10" s="2320"/>
      <c r="P10" s="2320"/>
      <c r="Q10" s="2320"/>
      <c r="R10" s="2320"/>
      <c r="S10" s="2320"/>
      <c r="T10" s="2320"/>
      <c r="U10" s="1192"/>
      <c r="V10" s="1192"/>
      <c r="W10" s="1192"/>
      <c r="X10" s="1195"/>
      <c r="Y10" s="1195"/>
      <c r="Z10" s="1195"/>
      <c r="AA10" s="1195"/>
      <c r="AB10" s="1195"/>
      <c r="AC10" s="1195"/>
      <c r="AD10" s="1195"/>
      <c r="AE10" s="1195"/>
      <c r="AF10" s="2317" t="s">
        <v>2448</v>
      </c>
      <c r="AG10" s="2317"/>
      <c r="AH10" s="2317"/>
      <c r="AI10" s="2317"/>
      <c r="AJ10" s="2317"/>
      <c r="AK10" s="2317"/>
      <c r="AL10" s="2317"/>
      <c r="AM10" s="2317"/>
      <c r="AN10" s="2317"/>
      <c r="AO10" s="2317"/>
      <c r="AP10" s="2318"/>
      <c r="AQ10" s="2319"/>
      <c r="AR10" s="2319"/>
      <c r="AS10" s="2319"/>
      <c r="AT10" s="2319"/>
      <c r="AU10" s="2319"/>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2320">
        <f>Application!AA933</f>
        <v>0</v>
      </c>
      <c r="O11" s="2320"/>
      <c r="P11" s="2320"/>
      <c r="Q11" s="2320"/>
      <c r="R11" s="2320"/>
      <c r="S11" s="2320"/>
      <c r="T11" s="2320"/>
      <c r="U11" s="1192"/>
      <c r="V11" s="1192"/>
      <c r="W11" s="1192"/>
      <c r="X11" s="1195"/>
      <c r="Y11" s="1195"/>
      <c r="Z11" s="1195"/>
      <c r="AA11" s="1195"/>
      <c r="AB11" s="1195"/>
      <c r="AC11" s="1195"/>
      <c r="AD11" s="1195"/>
      <c r="AE11" s="1195"/>
      <c r="AF11" s="2317" t="s">
        <v>2445</v>
      </c>
      <c r="AG11" s="2317"/>
      <c r="AH11" s="2317"/>
      <c r="AI11" s="2317"/>
      <c r="AJ11" s="2317"/>
      <c r="AK11" s="2317"/>
      <c r="AL11" s="2317"/>
      <c r="AM11" s="2317"/>
      <c r="AN11" s="2317"/>
      <c r="AO11" s="2317"/>
      <c r="AP11" s="2318"/>
      <c r="AQ11" s="2319"/>
      <c r="AR11" s="2319"/>
      <c r="AS11" s="2319"/>
      <c r="AT11" s="2319"/>
      <c r="AU11" s="2319"/>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8" t="s">
        <v>2443</v>
      </c>
      <c r="C13" s="2309"/>
      <c r="D13" s="2309"/>
      <c r="E13" s="2309"/>
      <c r="F13" s="2309"/>
      <c r="G13" s="2309"/>
      <c r="H13" s="2309"/>
      <c r="I13" s="2309"/>
      <c r="J13" s="2309"/>
      <c r="K13" s="2309"/>
      <c r="L13" s="2309"/>
      <c r="M13" s="2309"/>
      <c r="N13" s="2309"/>
      <c r="O13" s="2309"/>
      <c r="P13" s="2310"/>
      <c r="Q13" s="2311" t="s">
        <v>669</v>
      </c>
      <c r="R13" s="2312"/>
      <c r="S13" s="2312"/>
      <c r="T13" s="2313"/>
      <c r="U13" s="1195"/>
      <c r="V13" s="1192"/>
      <c r="W13" s="1192"/>
      <c r="X13" s="1192"/>
      <c r="Y13" s="1192"/>
      <c r="Z13" s="1192"/>
      <c r="AA13" s="2298" t="s">
        <v>2442</v>
      </c>
      <c r="AB13" s="2298"/>
      <c r="AC13" s="2298"/>
      <c r="AD13" s="2298"/>
      <c r="AE13" s="2298"/>
      <c r="AF13" s="2298"/>
      <c r="AG13" s="2298"/>
      <c r="AH13" s="2298"/>
      <c r="AI13" s="2298"/>
      <c r="AJ13" s="2298"/>
      <c r="AK13" s="2298"/>
      <c r="AL13" s="2298"/>
      <c r="AM13" s="2298"/>
      <c r="AN13" s="2298"/>
      <c r="AO13" s="2314">
        <f>Application!W473</f>
        <v>0</v>
      </c>
      <c r="AP13" s="2315"/>
      <c r="AQ13" s="2315"/>
      <c r="AR13" s="2315"/>
      <c r="AS13" s="2315"/>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6" t="s">
        <v>2440</v>
      </c>
      <c r="AB14" s="2316"/>
      <c r="AC14" s="2316"/>
      <c r="AD14" s="2316"/>
      <c r="AE14" s="2316"/>
      <c r="AF14" s="2316"/>
      <c r="AG14" s="2316"/>
      <c r="AH14" s="2316"/>
      <c r="AI14" s="2316"/>
      <c r="AJ14" s="2316"/>
      <c r="AK14" s="2316"/>
      <c r="AL14" s="2316"/>
      <c r="AM14" s="2316"/>
      <c r="AN14" s="2316"/>
      <c r="AO14" s="2299"/>
      <c r="AP14" s="2300"/>
      <c r="AQ14" s="2300"/>
      <c r="AR14" s="2300"/>
      <c r="AS14" s="2300"/>
      <c r="AT14" s="1195"/>
      <c r="AU14" s="1195"/>
      <c r="AV14" s="1195"/>
      <c r="AW14" s="1195"/>
      <c r="AX14" s="1195"/>
      <c r="AY14" s="1195"/>
      <c r="AZ14" s="1195"/>
      <c r="BA14" s="1195"/>
      <c r="BB14" s="1195"/>
      <c r="BC14" s="1195"/>
      <c r="BD14" s="1195"/>
      <c r="BE14" s="1196"/>
    </row>
    <row r="15" spans="1:65" ht="15" thickBot="1">
      <c r="A15" s="1192"/>
      <c r="B15" s="2293" t="s">
        <v>2439</v>
      </c>
      <c r="C15" s="2294"/>
      <c r="D15" s="2294"/>
      <c r="E15" s="2294"/>
      <c r="F15" s="2294"/>
      <c r="G15" s="2294"/>
      <c r="H15" s="2294"/>
      <c r="I15" s="2294"/>
      <c r="J15" s="2294"/>
      <c r="K15" s="2294"/>
      <c r="L15" s="2294"/>
      <c r="M15" s="2294"/>
      <c r="N15" s="2294"/>
      <c r="O15" s="2294"/>
      <c r="P15" s="2294"/>
      <c r="Q15" s="2294"/>
      <c r="R15" s="2295"/>
      <c r="S15" s="2296" t="str">
        <f>IF(Application!AB214="","",Application!AB214)</f>
        <v/>
      </c>
      <c r="T15" s="2296"/>
      <c r="U15" s="2296"/>
      <c r="V15" s="2296"/>
      <c r="W15" s="2297"/>
      <c r="X15" s="1195"/>
      <c r="Y15" s="1192"/>
      <c r="Z15" s="1192"/>
      <c r="AA15" s="2298" t="s">
        <v>2438</v>
      </c>
      <c r="AB15" s="2298"/>
      <c r="AC15" s="2298"/>
      <c r="AD15" s="2298"/>
      <c r="AE15" s="2298"/>
      <c r="AF15" s="2298"/>
      <c r="AG15" s="2298"/>
      <c r="AH15" s="2298"/>
      <c r="AI15" s="2298"/>
      <c r="AJ15" s="2298"/>
      <c r="AK15" s="2298"/>
      <c r="AL15" s="2298"/>
      <c r="AM15" s="2298"/>
      <c r="AN15" s="2298"/>
      <c r="AO15" s="2299"/>
      <c r="AP15" s="2300"/>
      <c r="AQ15" s="2300"/>
      <c r="AR15" s="2300"/>
      <c r="AS15" s="2300"/>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103" t="s">
        <v>2437</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92"/>
      <c r="BA17" s="1192"/>
      <c r="BB17" s="1192"/>
      <c r="BC17" s="1192"/>
      <c r="BD17" s="1192"/>
      <c r="BE17" s="1196"/>
      <c r="BF17" s="1190"/>
    </row>
    <row r="18" spans="1:58" ht="15.75" customHeight="1">
      <c r="A18" s="1192"/>
      <c r="B18" s="2301" t="s">
        <v>2436</v>
      </c>
      <c r="C18" s="2302"/>
      <c r="D18" s="2302"/>
      <c r="E18" s="2302"/>
      <c r="F18" s="2302"/>
      <c r="G18" s="2302"/>
      <c r="H18" s="2302"/>
      <c r="I18" s="2303"/>
      <c r="J18" s="2304" t="s">
        <v>1586</v>
      </c>
      <c r="K18" s="2305"/>
      <c r="L18" s="2305"/>
      <c r="M18" s="2305"/>
      <c r="N18" s="2305"/>
      <c r="O18" s="2306"/>
      <c r="P18" s="2304" t="s">
        <v>324</v>
      </c>
      <c r="Q18" s="2305"/>
      <c r="R18" s="2305"/>
      <c r="S18" s="2305"/>
      <c r="T18" s="2305"/>
      <c r="U18" s="2306"/>
      <c r="V18" s="2304" t="s">
        <v>325</v>
      </c>
      <c r="W18" s="2305"/>
      <c r="X18" s="2305"/>
      <c r="Y18" s="2305"/>
      <c r="Z18" s="2305"/>
      <c r="AA18" s="2306"/>
      <c r="AB18" s="2304" t="s">
        <v>163</v>
      </c>
      <c r="AC18" s="2305"/>
      <c r="AD18" s="2305"/>
      <c r="AE18" s="2305"/>
      <c r="AF18" s="2305"/>
      <c r="AG18" s="2306"/>
      <c r="AH18" s="2304" t="s">
        <v>164</v>
      </c>
      <c r="AI18" s="2305"/>
      <c r="AJ18" s="2305"/>
      <c r="AK18" s="2305"/>
      <c r="AL18" s="2305"/>
      <c r="AM18" s="2306"/>
      <c r="AN18" s="2304" t="s">
        <v>165</v>
      </c>
      <c r="AO18" s="2305"/>
      <c r="AP18" s="2305"/>
      <c r="AQ18" s="2305"/>
      <c r="AR18" s="2305"/>
      <c r="AS18" s="2306"/>
      <c r="AT18" s="2304" t="s">
        <v>2435</v>
      </c>
      <c r="AU18" s="2305"/>
      <c r="AV18" s="2305"/>
      <c r="AW18" s="2305"/>
      <c r="AX18" s="2305"/>
      <c r="AY18" s="2307"/>
      <c r="AZ18" s="1192"/>
      <c r="BA18" s="1192"/>
      <c r="BB18" s="1192"/>
      <c r="BC18" s="1192"/>
      <c r="BD18" s="1192"/>
      <c r="BE18" s="1196"/>
    </row>
    <row r="19" spans="1:58" ht="14.5">
      <c r="A19" s="1192"/>
      <c r="B19" s="2287">
        <v>0.3</v>
      </c>
      <c r="C19" s="2288"/>
      <c r="D19" s="2288"/>
      <c r="E19" s="2288"/>
      <c r="F19" s="2288"/>
      <c r="G19" s="2288"/>
      <c r="H19" s="2288"/>
      <c r="I19" s="2289"/>
      <c r="J19" s="2290">
        <f t="shared" ref="J19:J24" si="0">SUM(P19:AS19)</f>
        <v>14</v>
      </c>
      <c r="K19" s="2291"/>
      <c r="L19" s="2291"/>
      <c r="M19" s="2291"/>
      <c r="N19" s="2291"/>
      <c r="O19" s="2292"/>
      <c r="P19" s="2290" cm="1">
        <f t="array" ref="P19">SUMPRODUCT((Application!$B$718:$B$752 = 'CalHFA Addendum'!P$18)*(Application!$AC$718:$AC$752 = 'CalHFA Addendum'!$B19),Application!$G$718:$G$752)</f>
        <v>0</v>
      </c>
      <c r="Q19" s="2291"/>
      <c r="R19" s="2291"/>
      <c r="S19" s="2291"/>
      <c r="T19" s="2291"/>
      <c r="U19" s="2292"/>
      <c r="V19" s="2290" cm="1">
        <f t="array" ref="V19">SUMPRODUCT((Application!$B$714:$B$738 = 'CalHFA Addendum'!V$18)*(Application!$AC$714:$AC$738 = 'CalHFA Addendum'!$B19),Application!$G$714:$G$738)</f>
        <v>3</v>
      </c>
      <c r="W19" s="2291"/>
      <c r="X19" s="2291"/>
      <c r="Y19" s="2291"/>
      <c r="Z19" s="2291"/>
      <c r="AA19" s="2292"/>
      <c r="AB19" s="2290" cm="1">
        <f t="array" ref="AB19">SUMPRODUCT((Application!$B$714:$B$738 = 'CalHFA Addendum'!AB$18)*(Application!$AC$714:$AC$738 = 'CalHFA Addendum'!$B19),Application!$G$714:$G$738)</f>
        <v>7</v>
      </c>
      <c r="AC19" s="2291"/>
      <c r="AD19" s="2291"/>
      <c r="AE19" s="2291"/>
      <c r="AF19" s="2291"/>
      <c r="AG19" s="2292"/>
      <c r="AH19" s="2290" cm="1">
        <f t="array" ref="AH19">SUMPRODUCT((Application!$B$714:$B$738 = 'CalHFA Addendum'!AH$18)*(Application!$AC$714:$AC$738 = 'CalHFA Addendum'!$B19),Application!$G$714:$G$738)</f>
        <v>4</v>
      </c>
      <c r="AI19" s="2291"/>
      <c r="AJ19" s="2291"/>
      <c r="AK19" s="2291"/>
      <c r="AL19" s="2291"/>
      <c r="AM19" s="2292"/>
      <c r="AN19" s="2290" cm="1">
        <f t="array" ref="AN19">SUMPRODUCT((Application!$B$714:$B$738 = 'CalHFA Addendum'!AN$18)*(Application!$AC$714:$AC$738 = 'CalHFA Addendum'!$B19),Application!$G$714:$G$738)</f>
        <v>0</v>
      </c>
      <c r="AO19" s="2291"/>
      <c r="AP19" s="2291"/>
      <c r="AQ19" s="2291"/>
      <c r="AR19" s="2291"/>
      <c r="AS19" s="2292"/>
      <c r="AT19" s="2275">
        <f t="shared" ref="AT19:AT29" si="1">J19/$J$29</f>
        <v>0.21875</v>
      </c>
      <c r="AU19" s="2276"/>
      <c r="AV19" s="2276"/>
      <c r="AW19" s="2276"/>
      <c r="AX19" s="2276"/>
      <c r="AY19" s="2277"/>
      <c r="AZ19" s="1197"/>
      <c r="BA19" s="1192"/>
      <c r="BB19" s="1192"/>
      <c r="BC19" s="1192"/>
      <c r="BD19" s="1192"/>
      <c r="BE19" s="1196"/>
    </row>
    <row r="20" spans="1:58" ht="15" customHeight="1">
      <c r="A20" s="1192"/>
      <c r="B20" s="2287">
        <v>0.4</v>
      </c>
      <c r="C20" s="2288"/>
      <c r="D20" s="2288"/>
      <c r="E20" s="2288"/>
      <c r="F20" s="2288"/>
      <c r="G20" s="2288"/>
      <c r="H20" s="2288"/>
      <c r="I20" s="2289"/>
      <c r="J20" s="2290">
        <f t="shared" si="0"/>
        <v>35</v>
      </c>
      <c r="K20" s="2291"/>
      <c r="L20" s="2291"/>
      <c r="M20" s="2291"/>
      <c r="N20" s="2291"/>
      <c r="O20" s="2292"/>
      <c r="P20" s="2290" cm="1">
        <f t="array" ref="P20">SUMPRODUCT((Application!$B$718:$B$752 = 'CalHFA Addendum'!P$18)*(Application!$AC$718:$AC$752 = 'CalHFA Addendum'!$B20),Application!$G$718:$G$752)</f>
        <v>0</v>
      </c>
      <c r="Q20" s="2291"/>
      <c r="R20" s="2291"/>
      <c r="S20" s="2291"/>
      <c r="T20" s="2291"/>
      <c r="U20" s="2292"/>
      <c r="V20" s="2290" cm="1">
        <f t="array" ref="V20">SUMPRODUCT((Application!$B$714:$B$738 = 'CalHFA Addendum'!V$18)*(Application!$AC$714:$AC$738 = 'CalHFA Addendum'!$B20),Application!$G$714:$G$738)</f>
        <v>6</v>
      </c>
      <c r="W20" s="2291"/>
      <c r="X20" s="2291"/>
      <c r="Y20" s="2291"/>
      <c r="Z20" s="2291"/>
      <c r="AA20" s="2292"/>
      <c r="AB20" s="2290" cm="1">
        <f t="array" ref="AB20">SUMPRODUCT((Application!$B$714:$B$738 = 'CalHFA Addendum'!AB$18)*(Application!$AC$714:$AC$738 = 'CalHFA Addendum'!$B20),Application!$G$714:$G$738)</f>
        <v>21</v>
      </c>
      <c r="AC20" s="2291"/>
      <c r="AD20" s="2291"/>
      <c r="AE20" s="2291"/>
      <c r="AF20" s="2291"/>
      <c r="AG20" s="2292"/>
      <c r="AH20" s="2290" cm="1">
        <f t="array" ref="AH20">SUMPRODUCT((Application!$B$714:$B$738 = 'CalHFA Addendum'!AH$18)*(Application!$AC$714:$AC$738 = 'CalHFA Addendum'!$B20),Application!$G$714:$G$738)</f>
        <v>8</v>
      </c>
      <c r="AI20" s="2291"/>
      <c r="AJ20" s="2291"/>
      <c r="AK20" s="2291"/>
      <c r="AL20" s="2291"/>
      <c r="AM20" s="2292"/>
      <c r="AN20" s="2290" cm="1">
        <f t="array" ref="AN20">SUMPRODUCT((Application!$B$714:$B$738 = 'CalHFA Addendum'!AN$18)*(Application!$AC$714:$AC$738 = 'CalHFA Addendum'!$B20),Application!$G$714:$G$738)</f>
        <v>0</v>
      </c>
      <c r="AO20" s="2291"/>
      <c r="AP20" s="2291"/>
      <c r="AQ20" s="2291"/>
      <c r="AR20" s="2291"/>
      <c r="AS20" s="2292"/>
      <c r="AT20" s="2275">
        <f t="shared" si="1"/>
        <v>0.546875</v>
      </c>
      <c r="AU20" s="2276"/>
      <c r="AV20" s="2276"/>
      <c r="AW20" s="2276"/>
      <c r="AX20" s="2276"/>
      <c r="AY20" s="2277"/>
      <c r="AZ20" s="1192"/>
      <c r="BA20" s="1192"/>
      <c r="BB20" s="1192"/>
      <c r="BC20" s="1192"/>
      <c r="BD20" s="1192"/>
      <c r="BE20" s="1196"/>
    </row>
    <row r="21" spans="1:58" ht="14.5">
      <c r="A21" s="1192"/>
      <c r="B21" s="2287">
        <v>0.5</v>
      </c>
      <c r="C21" s="2288"/>
      <c r="D21" s="2288"/>
      <c r="E21" s="2288"/>
      <c r="F21" s="2288"/>
      <c r="G21" s="2288"/>
      <c r="H21" s="2288"/>
      <c r="I21" s="2289"/>
      <c r="J21" s="2290">
        <f t="shared" si="0"/>
        <v>14</v>
      </c>
      <c r="K21" s="2291"/>
      <c r="L21" s="2291"/>
      <c r="M21" s="2291"/>
      <c r="N21" s="2291"/>
      <c r="O21" s="2292"/>
      <c r="P21" s="2290" cm="1">
        <f t="array" ref="P21">SUMPRODUCT((Application!$B$714:$B$738 = 'CalHFA Addendum'!P$18)*(Application!$AC$714:$AC$738 = 'CalHFA Addendum'!$B21),Application!$G$714:$G$738)</f>
        <v>0</v>
      </c>
      <c r="Q21" s="2291"/>
      <c r="R21" s="2291"/>
      <c r="S21" s="2291"/>
      <c r="T21" s="2291"/>
      <c r="U21" s="2292"/>
      <c r="V21" s="2290" cm="1">
        <f t="array" ref="V21">SUMPRODUCT((Application!$B$714:$B$738 = 'CalHFA Addendum'!V$18)*(Application!$AC$714:$AC$738 = 'CalHFA Addendum'!$B21),Application!$G$714:$G$738)</f>
        <v>5</v>
      </c>
      <c r="W21" s="2291"/>
      <c r="X21" s="2291"/>
      <c r="Y21" s="2291"/>
      <c r="Z21" s="2291"/>
      <c r="AA21" s="2292"/>
      <c r="AB21" s="2290" cm="1">
        <f t="array" ref="AB21">SUMPRODUCT((Application!$B$714:$B$738 = 'CalHFA Addendum'!AB$18)*(Application!$AC$714:$AC$738 = 'CalHFA Addendum'!$B21),Application!$G$714:$G$738)</f>
        <v>5</v>
      </c>
      <c r="AC21" s="2291"/>
      <c r="AD21" s="2291"/>
      <c r="AE21" s="2291"/>
      <c r="AF21" s="2291"/>
      <c r="AG21" s="2292"/>
      <c r="AH21" s="2290" cm="1">
        <f t="array" ref="AH21">SUMPRODUCT((Application!$B$714:$B$738 = 'CalHFA Addendum'!AH$18)*(Application!$AC$714:$AC$738 = 'CalHFA Addendum'!$B21),Application!$G$714:$G$738)</f>
        <v>4</v>
      </c>
      <c r="AI21" s="2291"/>
      <c r="AJ21" s="2291"/>
      <c r="AK21" s="2291"/>
      <c r="AL21" s="2291"/>
      <c r="AM21" s="2292"/>
      <c r="AN21" s="2290" cm="1">
        <f t="array" ref="AN21">SUMPRODUCT((Application!$B$714:$B$738 = 'CalHFA Addendum'!AN$18)*(Application!$AC$714:$AC$738 = 'CalHFA Addendum'!$B21),Application!$G$714:$G$738)</f>
        <v>0</v>
      </c>
      <c r="AO21" s="2291"/>
      <c r="AP21" s="2291"/>
      <c r="AQ21" s="2291"/>
      <c r="AR21" s="2291"/>
      <c r="AS21" s="2292"/>
      <c r="AT21" s="2275">
        <f t="shared" si="1"/>
        <v>0.21875</v>
      </c>
      <c r="AU21" s="2276"/>
      <c r="AV21" s="2276"/>
      <c r="AW21" s="2276"/>
      <c r="AX21" s="2276"/>
      <c r="AY21" s="2277"/>
      <c r="AZ21" s="1192"/>
      <c r="BA21" s="1192"/>
      <c r="BB21" s="1192"/>
      <c r="BC21" s="1192"/>
      <c r="BD21" s="1192"/>
      <c r="BE21" s="1196"/>
    </row>
    <row r="22" spans="1:58" ht="14.5">
      <c r="A22" s="1192"/>
      <c r="B22" s="2287">
        <v>0.6</v>
      </c>
      <c r="C22" s="2288"/>
      <c r="D22" s="2288"/>
      <c r="E22" s="2288"/>
      <c r="F22" s="2288"/>
      <c r="G22" s="2288"/>
      <c r="H22" s="2288"/>
      <c r="I22" s="2289"/>
      <c r="J22" s="2290">
        <f t="shared" si="0"/>
        <v>0</v>
      </c>
      <c r="K22" s="2291"/>
      <c r="L22" s="2291"/>
      <c r="M22" s="2291"/>
      <c r="N22" s="2291"/>
      <c r="O22" s="2292"/>
      <c r="P22" s="2290" cm="1">
        <f t="array" ref="P22">SUMPRODUCT((Application!$B$714:$B$738 = 'CalHFA Addendum'!P$18)*(Application!$AC$714:$AC$738 = 'CalHFA Addendum'!$B22),Application!$G$714:$G$738)</f>
        <v>0</v>
      </c>
      <c r="Q22" s="2291"/>
      <c r="R22" s="2291"/>
      <c r="S22" s="2291"/>
      <c r="T22" s="2291"/>
      <c r="U22" s="2292"/>
      <c r="V22" s="2290" cm="1">
        <f t="array" ref="V22">SUMPRODUCT((Application!$B$714:$B$738 = 'CalHFA Addendum'!V$18)*(Application!$AC$714:$AC$738 = 'CalHFA Addendum'!$B22),Application!$G$714:$G$738)</f>
        <v>0</v>
      </c>
      <c r="W22" s="2291"/>
      <c r="X22" s="2291"/>
      <c r="Y22" s="2291"/>
      <c r="Z22" s="2291"/>
      <c r="AA22" s="2292"/>
      <c r="AB22" s="2290" cm="1">
        <f t="array" ref="AB22">SUMPRODUCT((Application!$B$714:$B$738 = 'CalHFA Addendum'!AB$18)*(Application!$AC$714:$AC$738 = 'CalHFA Addendum'!$B22),Application!$G$714:$G$738)</f>
        <v>0</v>
      </c>
      <c r="AC22" s="2291"/>
      <c r="AD22" s="2291"/>
      <c r="AE22" s="2291"/>
      <c r="AF22" s="2291"/>
      <c r="AG22" s="2292"/>
      <c r="AH22" s="2290" cm="1">
        <f t="array" ref="AH22">SUMPRODUCT((Application!$B$714:$B$738 = 'CalHFA Addendum'!AH$18)*(Application!$AC$714:$AC$738 = 'CalHFA Addendum'!$B22),Application!$G$714:$G$738)</f>
        <v>0</v>
      </c>
      <c r="AI22" s="2291"/>
      <c r="AJ22" s="2291"/>
      <c r="AK22" s="2291"/>
      <c r="AL22" s="2291"/>
      <c r="AM22" s="2292"/>
      <c r="AN22" s="2290" cm="1">
        <f t="array" ref="AN22">SUMPRODUCT((Application!$B$714:$B$738 = 'CalHFA Addendum'!AN$18)*(Application!$AC$714:$AC$738 = 'CalHFA Addendum'!$B22),Application!$G$714:$G$738)</f>
        <v>0</v>
      </c>
      <c r="AO22" s="2291"/>
      <c r="AP22" s="2291"/>
      <c r="AQ22" s="2291"/>
      <c r="AR22" s="2291"/>
      <c r="AS22" s="2292"/>
      <c r="AT22" s="2275">
        <f t="shared" si="1"/>
        <v>0</v>
      </c>
      <c r="AU22" s="2276"/>
      <c r="AV22" s="2276"/>
      <c r="AW22" s="2276"/>
      <c r="AX22" s="2276"/>
      <c r="AY22" s="2277"/>
      <c r="AZ22" s="1192"/>
      <c r="BA22" s="1192"/>
      <c r="BB22" s="1192"/>
      <c r="BC22" s="1192"/>
      <c r="BD22" s="1192"/>
      <c r="BE22" s="1196"/>
    </row>
    <row r="23" spans="1:58" ht="14.5">
      <c r="A23" s="1192"/>
      <c r="B23" s="2287">
        <v>0.7</v>
      </c>
      <c r="C23" s="2288"/>
      <c r="D23" s="2288"/>
      <c r="E23" s="2288"/>
      <c r="F23" s="2288"/>
      <c r="G23" s="2288"/>
      <c r="H23" s="2288"/>
      <c r="I23" s="2289"/>
      <c r="J23" s="2290">
        <f t="shared" si="0"/>
        <v>0</v>
      </c>
      <c r="K23" s="2291"/>
      <c r="L23" s="2291"/>
      <c r="M23" s="2291"/>
      <c r="N23" s="2291"/>
      <c r="O23" s="2292"/>
      <c r="P23" s="2290" cm="1">
        <f t="array" ref="P23">SUMPRODUCT((Application!$B$714:$B$738 = 'CalHFA Addendum'!P$18)*(Application!$AC$714:$AC$738 = 'CalHFA Addendum'!$B23),Application!$G$714:$G$738)</f>
        <v>0</v>
      </c>
      <c r="Q23" s="2291"/>
      <c r="R23" s="2291"/>
      <c r="S23" s="2291"/>
      <c r="T23" s="2291"/>
      <c r="U23" s="2292"/>
      <c r="V23" s="2290" cm="1">
        <f t="array" ref="V23">SUMPRODUCT((Application!$B$714:$B$738 = 'CalHFA Addendum'!V$18)*(Application!$AC$714:$AC$738 = 'CalHFA Addendum'!$B23),Application!$G$714:$G$738)</f>
        <v>0</v>
      </c>
      <c r="W23" s="2291"/>
      <c r="X23" s="2291"/>
      <c r="Y23" s="2291"/>
      <c r="Z23" s="2291"/>
      <c r="AA23" s="2292"/>
      <c r="AB23" s="2290" cm="1">
        <f t="array" ref="AB23">SUMPRODUCT((Application!$B$714:$B$738 = 'CalHFA Addendum'!AB$18)*(Application!$AC$714:$AC$738 = 'CalHFA Addendum'!$B23),Application!$G$714:$G$738)</f>
        <v>0</v>
      </c>
      <c r="AC23" s="2291"/>
      <c r="AD23" s="2291"/>
      <c r="AE23" s="2291"/>
      <c r="AF23" s="2291"/>
      <c r="AG23" s="2292"/>
      <c r="AH23" s="2290" cm="1">
        <f t="array" ref="AH23">SUMPRODUCT((Application!$B$714:$B$738 = 'CalHFA Addendum'!AH$18)*(Application!$AC$714:$AC$738 = 'CalHFA Addendum'!$B23),Application!$G$714:$G$738)</f>
        <v>0</v>
      </c>
      <c r="AI23" s="2291"/>
      <c r="AJ23" s="2291"/>
      <c r="AK23" s="2291"/>
      <c r="AL23" s="2291"/>
      <c r="AM23" s="2292"/>
      <c r="AN23" s="2290" cm="1">
        <f t="array" ref="AN23">SUMPRODUCT((Application!$B$714:$B$738 = 'CalHFA Addendum'!AN$18)*(Application!$AC$714:$AC$738 = 'CalHFA Addendum'!$B23),Application!$G$714:$G$738)</f>
        <v>0</v>
      </c>
      <c r="AO23" s="2291"/>
      <c r="AP23" s="2291"/>
      <c r="AQ23" s="2291"/>
      <c r="AR23" s="2291"/>
      <c r="AS23" s="2292"/>
      <c r="AT23" s="2275">
        <f t="shared" si="1"/>
        <v>0</v>
      </c>
      <c r="AU23" s="2276"/>
      <c r="AV23" s="2276"/>
      <c r="AW23" s="2276"/>
      <c r="AX23" s="2276"/>
      <c r="AY23" s="2277"/>
      <c r="AZ23" s="1192"/>
      <c r="BA23" s="1192"/>
      <c r="BB23" s="1192"/>
      <c r="BC23" s="1192"/>
      <c r="BD23" s="1192"/>
      <c r="BE23" s="1196"/>
    </row>
    <row r="24" spans="1:58" ht="14.5">
      <c r="A24" s="1192"/>
      <c r="B24" s="2287">
        <v>0.8</v>
      </c>
      <c r="C24" s="2288"/>
      <c r="D24" s="2288"/>
      <c r="E24" s="2288"/>
      <c r="F24" s="2288"/>
      <c r="G24" s="2288"/>
      <c r="H24" s="2288"/>
      <c r="I24" s="2289"/>
      <c r="J24" s="2290">
        <f t="shared" si="0"/>
        <v>0</v>
      </c>
      <c r="K24" s="2291"/>
      <c r="L24" s="2291"/>
      <c r="M24" s="2291"/>
      <c r="N24" s="2291"/>
      <c r="O24" s="2292"/>
      <c r="P24" s="2290" cm="1">
        <f t="array" ref="P24">SUMPRODUCT((Application!$B$714:$B$738 = 'CalHFA Addendum'!P$18)*(Application!$AC$714:$AC$738 = 'CalHFA Addendum'!$B24),Application!$G$714:$G$738)</f>
        <v>0</v>
      </c>
      <c r="Q24" s="2291"/>
      <c r="R24" s="2291"/>
      <c r="S24" s="2291"/>
      <c r="T24" s="2291"/>
      <c r="U24" s="2292"/>
      <c r="V24" s="2290" cm="1">
        <f t="array" ref="V24">SUMPRODUCT((Application!$B$714:$B$738 = 'CalHFA Addendum'!V$18)*(Application!$AC$714:$AC$738 = 'CalHFA Addendum'!$B24),Application!$G$714:$G$738)</f>
        <v>0</v>
      </c>
      <c r="W24" s="2291"/>
      <c r="X24" s="2291"/>
      <c r="Y24" s="2291"/>
      <c r="Z24" s="2291"/>
      <c r="AA24" s="2292"/>
      <c r="AB24" s="2290" cm="1">
        <f t="array" ref="AB24">SUMPRODUCT((Application!$B$714:$B$738 = 'CalHFA Addendum'!AB$18)*(Application!$AC$714:$AC$738 = 'CalHFA Addendum'!$B24),Application!$G$714:$G$738)</f>
        <v>0</v>
      </c>
      <c r="AC24" s="2291"/>
      <c r="AD24" s="2291"/>
      <c r="AE24" s="2291"/>
      <c r="AF24" s="2291"/>
      <c r="AG24" s="2292"/>
      <c r="AH24" s="2290" cm="1">
        <f t="array" ref="AH24">SUMPRODUCT((Application!$B$714:$B$738 = 'CalHFA Addendum'!AH$18)*(Application!$AC$714:$AC$738 = 'CalHFA Addendum'!$B24),Application!$G$714:$G$738)</f>
        <v>0</v>
      </c>
      <c r="AI24" s="2291"/>
      <c r="AJ24" s="2291"/>
      <c r="AK24" s="2291"/>
      <c r="AL24" s="2291"/>
      <c r="AM24" s="2292"/>
      <c r="AN24" s="2290" cm="1">
        <f t="array" ref="AN24">SUMPRODUCT((Application!$B$714:$B$738 = 'CalHFA Addendum'!AN$18)*(Application!$AC$714:$AC$738 = 'CalHFA Addendum'!$B24),Application!$G$714:$G$738)</f>
        <v>0</v>
      </c>
      <c r="AO24" s="2291"/>
      <c r="AP24" s="2291"/>
      <c r="AQ24" s="2291"/>
      <c r="AR24" s="2291"/>
      <c r="AS24" s="2292"/>
      <c r="AT24" s="2275">
        <f t="shared" si="1"/>
        <v>0</v>
      </c>
      <c r="AU24" s="2276"/>
      <c r="AV24" s="2276"/>
      <c r="AW24" s="2276"/>
      <c r="AX24" s="2276"/>
      <c r="AY24" s="2277"/>
      <c r="AZ24" s="1192"/>
      <c r="BA24" s="1192"/>
      <c r="BB24" s="1192"/>
      <c r="BC24" s="1192"/>
      <c r="BD24" s="1192"/>
      <c r="BE24" s="1196"/>
    </row>
    <row r="25" spans="1:58" ht="14.5">
      <c r="A25" s="1192"/>
      <c r="B25" s="2287">
        <v>0.9</v>
      </c>
      <c r="C25" s="2288"/>
      <c r="D25" s="2288"/>
      <c r="E25" s="2288"/>
      <c r="F25" s="2288"/>
      <c r="G25" s="2288"/>
      <c r="H25" s="2288"/>
      <c r="I25" s="2289"/>
      <c r="J25" s="2272"/>
      <c r="K25" s="2273"/>
      <c r="L25" s="2273"/>
      <c r="M25" s="2273"/>
      <c r="N25" s="2273"/>
      <c r="O25" s="2274"/>
      <c r="P25" s="2272"/>
      <c r="Q25" s="2273"/>
      <c r="R25" s="2273"/>
      <c r="S25" s="2273"/>
      <c r="T25" s="2273"/>
      <c r="U25" s="2274"/>
      <c r="V25" s="2272"/>
      <c r="W25" s="2273"/>
      <c r="X25" s="2273"/>
      <c r="Y25" s="2273"/>
      <c r="Z25" s="2273"/>
      <c r="AA25" s="2274"/>
      <c r="AB25" s="2272"/>
      <c r="AC25" s="2273"/>
      <c r="AD25" s="2273"/>
      <c r="AE25" s="2273"/>
      <c r="AF25" s="2273"/>
      <c r="AG25" s="2274"/>
      <c r="AH25" s="2272"/>
      <c r="AI25" s="2273"/>
      <c r="AJ25" s="2273"/>
      <c r="AK25" s="2273"/>
      <c r="AL25" s="2273"/>
      <c r="AM25" s="2274"/>
      <c r="AN25" s="2272"/>
      <c r="AO25" s="2273"/>
      <c r="AP25" s="2273"/>
      <c r="AQ25" s="2273"/>
      <c r="AR25" s="2273"/>
      <c r="AS25" s="2274"/>
      <c r="AT25" s="2275">
        <f t="shared" si="1"/>
        <v>0</v>
      </c>
      <c r="AU25" s="2276"/>
      <c r="AV25" s="2276"/>
      <c r="AW25" s="2276"/>
      <c r="AX25" s="2276"/>
      <c r="AY25" s="2277"/>
      <c r="AZ25" s="1192"/>
      <c r="BA25" s="1192"/>
      <c r="BB25" s="1192"/>
      <c r="BC25" s="1192"/>
      <c r="BD25" s="1192"/>
      <c r="BE25" s="1196"/>
    </row>
    <row r="26" spans="1:58" ht="14.5">
      <c r="A26" s="1192"/>
      <c r="B26" s="2287">
        <v>1</v>
      </c>
      <c r="C26" s="2288"/>
      <c r="D26" s="2288"/>
      <c r="E26" s="2288"/>
      <c r="F26" s="2288"/>
      <c r="G26" s="2288"/>
      <c r="H26" s="2288"/>
      <c r="I26" s="2289"/>
      <c r="J26" s="2272"/>
      <c r="K26" s="2273"/>
      <c r="L26" s="2273"/>
      <c r="M26" s="2273"/>
      <c r="N26" s="2273"/>
      <c r="O26" s="2274"/>
      <c r="P26" s="2272"/>
      <c r="Q26" s="2273"/>
      <c r="R26" s="2273"/>
      <c r="S26" s="2273"/>
      <c r="T26" s="2273"/>
      <c r="U26" s="2274"/>
      <c r="V26" s="2272"/>
      <c r="W26" s="2273"/>
      <c r="X26" s="2273"/>
      <c r="Y26" s="2273"/>
      <c r="Z26" s="2273"/>
      <c r="AA26" s="2274"/>
      <c r="AB26" s="2272"/>
      <c r="AC26" s="2273"/>
      <c r="AD26" s="2273"/>
      <c r="AE26" s="2273"/>
      <c r="AF26" s="2273"/>
      <c r="AG26" s="2274"/>
      <c r="AH26" s="2272"/>
      <c r="AI26" s="2273"/>
      <c r="AJ26" s="2273"/>
      <c r="AK26" s="2273"/>
      <c r="AL26" s="2273"/>
      <c r="AM26" s="2274"/>
      <c r="AN26" s="2272"/>
      <c r="AO26" s="2273"/>
      <c r="AP26" s="2273"/>
      <c r="AQ26" s="2273"/>
      <c r="AR26" s="2273"/>
      <c r="AS26" s="2274"/>
      <c r="AT26" s="2275">
        <f t="shared" si="1"/>
        <v>0</v>
      </c>
      <c r="AU26" s="2276"/>
      <c r="AV26" s="2276"/>
      <c r="AW26" s="2276"/>
      <c r="AX26" s="2276"/>
      <c r="AY26" s="2277"/>
      <c r="AZ26" s="1192"/>
      <c r="BA26" s="1192"/>
      <c r="BB26" s="1192"/>
      <c r="BC26" s="1192"/>
      <c r="BD26" s="1192"/>
      <c r="BE26" s="1196"/>
    </row>
    <row r="27" spans="1:58" ht="14.5">
      <c r="A27" s="1192"/>
      <c r="B27" s="2287">
        <v>1.2</v>
      </c>
      <c r="C27" s="2288"/>
      <c r="D27" s="2288"/>
      <c r="E27" s="2288"/>
      <c r="F27" s="2288"/>
      <c r="G27" s="2288"/>
      <c r="H27" s="2288"/>
      <c r="I27" s="2289"/>
      <c r="J27" s="2272"/>
      <c r="K27" s="2273"/>
      <c r="L27" s="2273"/>
      <c r="M27" s="2273"/>
      <c r="N27" s="2273"/>
      <c r="O27" s="2274"/>
      <c r="P27" s="2272"/>
      <c r="Q27" s="2273"/>
      <c r="R27" s="2273"/>
      <c r="S27" s="2273"/>
      <c r="T27" s="2273"/>
      <c r="U27" s="2274"/>
      <c r="V27" s="2272"/>
      <c r="W27" s="2273"/>
      <c r="X27" s="2273"/>
      <c r="Y27" s="2273"/>
      <c r="Z27" s="2273"/>
      <c r="AA27" s="2274"/>
      <c r="AB27" s="2272"/>
      <c r="AC27" s="2273"/>
      <c r="AD27" s="2273"/>
      <c r="AE27" s="2273"/>
      <c r="AF27" s="2273"/>
      <c r="AG27" s="2274"/>
      <c r="AH27" s="2272"/>
      <c r="AI27" s="2273"/>
      <c r="AJ27" s="2273"/>
      <c r="AK27" s="2273"/>
      <c r="AL27" s="2273"/>
      <c r="AM27" s="2274"/>
      <c r="AN27" s="2272"/>
      <c r="AO27" s="2273"/>
      <c r="AP27" s="2273"/>
      <c r="AQ27" s="2273"/>
      <c r="AR27" s="2273"/>
      <c r="AS27" s="2274"/>
      <c r="AT27" s="2275">
        <f t="shared" si="1"/>
        <v>0</v>
      </c>
      <c r="AU27" s="2276"/>
      <c r="AV27" s="2276"/>
      <c r="AW27" s="2276"/>
      <c r="AX27" s="2276"/>
      <c r="AY27" s="2277"/>
      <c r="AZ27" s="1192"/>
      <c r="BA27" s="1192"/>
      <c r="BB27" s="1192"/>
      <c r="BC27" s="1192"/>
      <c r="BD27" s="1192"/>
      <c r="BE27" s="1196"/>
    </row>
    <row r="28" spans="1:58" ht="15" thickBot="1">
      <c r="A28" s="1192"/>
      <c r="B28" s="2278" t="s">
        <v>2434</v>
      </c>
      <c r="C28" s="2279"/>
      <c r="D28" s="2279"/>
      <c r="E28" s="2279"/>
      <c r="F28" s="2279"/>
      <c r="G28" s="2279"/>
      <c r="H28" s="2279"/>
      <c r="I28" s="2280"/>
      <c r="J28" s="2281">
        <f>SUM(P28:AS28)</f>
        <v>1</v>
      </c>
      <c r="K28" s="2282"/>
      <c r="L28" s="2282"/>
      <c r="M28" s="2282"/>
      <c r="N28" s="2282"/>
      <c r="O28" s="2283"/>
      <c r="P28" s="2281">
        <f>_xlfn.IFNA(VLOOKUP(P$18,Application!$J$773:$S$776,6,FALSE), 0)</f>
        <v>0</v>
      </c>
      <c r="Q28" s="2282"/>
      <c r="R28" s="2282"/>
      <c r="S28" s="2282"/>
      <c r="T28" s="2282"/>
      <c r="U28" s="2283"/>
      <c r="V28" s="2281">
        <f>_xlfn.IFNA(VLOOKUP(V$18,Application!$J$773:$S$776,6,FALSE), 0)</f>
        <v>0</v>
      </c>
      <c r="W28" s="2282"/>
      <c r="X28" s="2282"/>
      <c r="Y28" s="2282"/>
      <c r="Z28" s="2282"/>
      <c r="AA28" s="2283"/>
      <c r="AB28" s="2281">
        <f>_xlfn.IFNA(VLOOKUP(AB$18,Application!$J$773:$S$776,6,FALSE), 0)</f>
        <v>1</v>
      </c>
      <c r="AC28" s="2282"/>
      <c r="AD28" s="2282"/>
      <c r="AE28" s="2282"/>
      <c r="AF28" s="2282"/>
      <c r="AG28" s="2283"/>
      <c r="AH28" s="2281">
        <f>_xlfn.IFNA(VLOOKUP(AH$18,Application!$J$773:$S$776,6,FALSE), 0)</f>
        <v>0</v>
      </c>
      <c r="AI28" s="2282"/>
      <c r="AJ28" s="2282"/>
      <c r="AK28" s="2282"/>
      <c r="AL28" s="2282"/>
      <c r="AM28" s="2283"/>
      <c r="AN28" s="2281">
        <f>_xlfn.IFNA(VLOOKUP(AN$18,Application!$J$773:$S$776,6,FALSE), 0)</f>
        <v>0</v>
      </c>
      <c r="AO28" s="2282"/>
      <c r="AP28" s="2282"/>
      <c r="AQ28" s="2282"/>
      <c r="AR28" s="2282"/>
      <c r="AS28" s="2283"/>
      <c r="AT28" s="2284">
        <f t="shared" si="1"/>
        <v>1.5625E-2</v>
      </c>
      <c r="AU28" s="2285"/>
      <c r="AV28" s="2285"/>
      <c r="AW28" s="2285"/>
      <c r="AX28" s="2285"/>
      <c r="AY28" s="2286"/>
      <c r="AZ28" s="1192"/>
      <c r="BA28" s="1192"/>
      <c r="BB28" s="1192"/>
      <c r="BC28" s="1192"/>
      <c r="BD28" s="1192"/>
      <c r="BE28" s="1196"/>
    </row>
    <row r="29" spans="1:58" ht="15" thickBot="1">
      <c r="A29" s="1192"/>
      <c r="B29" s="2261" t="s">
        <v>1586</v>
      </c>
      <c r="C29" s="2234"/>
      <c r="D29" s="2234"/>
      <c r="E29" s="2234"/>
      <c r="F29" s="2234"/>
      <c r="G29" s="2234"/>
      <c r="H29" s="2234"/>
      <c r="I29" s="2235"/>
      <c r="J29" s="2233">
        <f>SUM(J19:O28)</f>
        <v>64</v>
      </c>
      <c r="K29" s="2234"/>
      <c r="L29" s="2234"/>
      <c r="M29" s="2234"/>
      <c r="N29" s="2234"/>
      <c r="O29" s="2235"/>
      <c r="P29" s="2233">
        <f>SUM(P19:U28)</f>
        <v>0</v>
      </c>
      <c r="Q29" s="2234"/>
      <c r="R29" s="2234"/>
      <c r="S29" s="2234"/>
      <c r="T29" s="2234"/>
      <c r="U29" s="2235"/>
      <c r="V29" s="2233">
        <f>SUM(V19:AA28)</f>
        <v>14</v>
      </c>
      <c r="W29" s="2234"/>
      <c r="X29" s="2234"/>
      <c r="Y29" s="2234"/>
      <c r="Z29" s="2234"/>
      <c r="AA29" s="2235"/>
      <c r="AB29" s="2233">
        <f>SUM(AB19:AG28)</f>
        <v>34</v>
      </c>
      <c r="AC29" s="2234"/>
      <c r="AD29" s="2234"/>
      <c r="AE29" s="2234"/>
      <c r="AF29" s="2234"/>
      <c r="AG29" s="2235"/>
      <c r="AH29" s="2233">
        <f>SUM(AH19:AM28)</f>
        <v>16</v>
      </c>
      <c r="AI29" s="2234"/>
      <c r="AJ29" s="2234"/>
      <c r="AK29" s="2234"/>
      <c r="AL29" s="2234"/>
      <c r="AM29" s="2235"/>
      <c r="AN29" s="2233">
        <f>SUM(AN19:AS28)</f>
        <v>0</v>
      </c>
      <c r="AO29" s="2234"/>
      <c r="AP29" s="2234"/>
      <c r="AQ29" s="2234"/>
      <c r="AR29" s="2234"/>
      <c r="AS29" s="2235"/>
      <c r="AT29" s="2236">
        <f t="shared" si="1"/>
        <v>1</v>
      </c>
      <c r="AU29" s="2237"/>
      <c r="AV29" s="2237"/>
      <c r="AW29" s="2237"/>
      <c r="AX29" s="2237"/>
      <c r="AY29" s="2238"/>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9" t="s">
        <v>2433</v>
      </c>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240"/>
      <c r="BB31" s="2240"/>
      <c r="BC31" s="2240"/>
      <c r="BD31" s="2241"/>
      <c r="BE31" s="1196"/>
    </row>
    <row r="32" spans="1:58" ht="15" thickBot="1">
      <c r="A32" s="1192"/>
      <c r="B32" s="2242" t="s">
        <v>2432</v>
      </c>
      <c r="C32" s="2243"/>
      <c r="D32" s="2243"/>
      <c r="E32" s="2243"/>
      <c r="F32" s="2243"/>
      <c r="G32" s="2243"/>
      <c r="H32" s="2243"/>
      <c r="I32" s="2243"/>
      <c r="J32" s="2246" t="s">
        <v>2431</v>
      </c>
      <c r="K32" s="2247"/>
      <c r="L32" s="2247"/>
      <c r="M32" s="2247"/>
      <c r="N32" s="2246" t="s">
        <v>2430</v>
      </c>
      <c r="O32" s="2247"/>
      <c r="P32" s="2247"/>
      <c r="Q32" s="2249"/>
      <c r="R32" s="2251" t="s">
        <v>2429</v>
      </c>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252"/>
      <c r="BB32" s="2252"/>
      <c r="BC32" s="2252"/>
      <c r="BD32" s="2253"/>
      <c r="BE32" s="1196"/>
    </row>
    <row r="33" spans="1:58" ht="15" customHeight="1">
      <c r="A33" s="1192"/>
      <c r="B33" s="2244"/>
      <c r="C33" s="2245"/>
      <c r="D33" s="2245"/>
      <c r="E33" s="2245"/>
      <c r="F33" s="2245"/>
      <c r="G33" s="2245"/>
      <c r="H33" s="2245"/>
      <c r="I33" s="2245"/>
      <c r="J33" s="2248"/>
      <c r="K33" s="2248"/>
      <c r="L33" s="2248"/>
      <c r="M33" s="2248"/>
      <c r="N33" s="2248"/>
      <c r="O33" s="2248"/>
      <c r="P33" s="2248"/>
      <c r="Q33" s="2250"/>
      <c r="R33" s="2254" t="s">
        <v>2428</v>
      </c>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2255"/>
      <c r="BB33" s="2255"/>
      <c r="BC33" s="2255"/>
      <c r="BD33" s="2256"/>
      <c r="BE33" s="1196"/>
    </row>
    <row r="34" spans="1:58" ht="15.75" customHeight="1" thickBot="1">
      <c r="A34" s="1192"/>
      <c r="B34" s="2244"/>
      <c r="C34" s="2245"/>
      <c r="D34" s="2245"/>
      <c r="E34" s="2245"/>
      <c r="F34" s="2245"/>
      <c r="G34" s="2245"/>
      <c r="H34" s="2245"/>
      <c r="I34" s="2245"/>
      <c r="J34" s="2248"/>
      <c r="K34" s="2248"/>
      <c r="L34" s="2248"/>
      <c r="M34" s="2248"/>
      <c r="N34" s="2248"/>
      <c r="O34" s="2248"/>
      <c r="P34" s="2248"/>
      <c r="Q34" s="2250"/>
      <c r="R34" s="2257"/>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9"/>
      <c r="BE34" s="1196"/>
    </row>
    <row r="35" spans="1:58" ht="15.75" customHeight="1">
      <c r="A35" s="1192"/>
      <c r="B35" s="2244"/>
      <c r="C35" s="2245"/>
      <c r="D35" s="2245"/>
      <c r="E35" s="2245"/>
      <c r="F35" s="2245"/>
      <c r="G35" s="2245"/>
      <c r="H35" s="2245"/>
      <c r="I35" s="2245"/>
      <c r="J35" s="2248"/>
      <c r="K35" s="2248"/>
      <c r="L35" s="2248"/>
      <c r="M35" s="2248"/>
      <c r="N35" s="2248"/>
      <c r="O35" s="2248"/>
      <c r="P35" s="2248"/>
      <c r="Q35" s="2248"/>
      <c r="R35" s="2260">
        <v>0.3</v>
      </c>
      <c r="S35" s="2260"/>
      <c r="T35" s="2260"/>
      <c r="U35" s="2260"/>
      <c r="V35" s="2260">
        <v>0.4</v>
      </c>
      <c r="W35" s="2260"/>
      <c r="X35" s="2260"/>
      <c r="Y35" s="2260"/>
      <c r="Z35" s="2260">
        <v>0.5</v>
      </c>
      <c r="AA35" s="2260"/>
      <c r="AB35" s="2260"/>
      <c r="AC35" s="2260"/>
      <c r="AD35" s="2260">
        <v>0.6</v>
      </c>
      <c r="AE35" s="2260"/>
      <c r="AF35" s="2260"/>
      <c r="AG35" s="2260"/>
      <c r="AH35" s="2260">
        <v>0.7</v>
      </c>
      <c r="AI35" s="2260"/>
      <c r="AJ35" s="2260"/>
      <c r="AK35" s="2260"/>
      <c r="AL35" s="2265">
        <v>0.8</v>
      </c>
      <c r="AM35" s="2266"/>
      <c r="AN35" s="2266"/>
      <c r="AO35" s="2267"/>
      <c r="AP35" s="2268">
        <v>1.2</v>
      </c>
      <c r="AQ35" s="2269"/>
      <c r="AR35" s="2270"/>
      <c r="AS35" s="2262" t="s">
        <v>2427</v>
      </c>
      <c r="AT35" s="2263"/>
      <c r="AU35" s="2263"/>
      <c r="AV35" s="2263"/>
      <c r="AW35" s="2263"/>
      <c r="AX35" s="2271"/>
      <c r="AY35" s="2262" t="s">
        <v>2426</v>
      </c>
      <c r="AZ35" s="2263"/>
      <c r="BA35" s="2263"/>
      <c r="BB35" s="2263"/>
      <c r="BC35" s="2263"/>
      <c r="BD35" s="2264"/>
      <c r="BE35" s="1196"/>
    </row>
    <row r="36" spans="1:58" ht="15.75" customHeight="1">
      <c r="A36" s="1192"/>
      <c r="B36" s="2166" t="s">
        <v>2425</v>
      </c>
      <c r="C36" s="2167"/>
      <c r="D36" s="2167"/>
      <c r="E36" s="2167"/>
      <c r="F36" s="2167"/>
      <c r="G36" s="2167"/>
      <c r="H36" s="2167"/>
      <c r="I36" s="2167"/>
      <c r="J36" s="2231" t="s">
        <v>2424</v>
      </c>
      <c r="K36" s="2231"/>
      <c r="L36" s="2231"/>
      <c r="M36" s="2231"/>
      <c r="N36" s="2231">
        <v>55</v>
      </c>
      <c r="O36" s="2231"/>
      <c r="P36" s="2231"/>
      <c r="Q36" s="2231"/>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16"/>
      <c r="AM36" s="2217"/>
      <c r="AN36" s="2217"/>
      <c r="AO36" s="2218"/>
      <c r="AP36" s="2216"/>
      <c r="AQ36" s="2217"/>
      <c r="AR36" s="2218"/>
      <c r="AS36" s="2219">
        <f t="shared" ref="AS36:AS47" si="2">SUM(R36:AR36)</f>
        <v>0</v>
      </c>
      <c r="AT36" s="2220"/>
      <c r="AU36" s="2220"/>
      <c r="AV36" s="2220"/>
      <c r="AW36" s="2220"/>
      <c r="AX36" s="2221"/>
      <c r="AY36" s="2222">
        <f t="shared" ref="AY36:AY47" si="3">AS36/$J$29</f>
        <v>0</v>
      </c>
      <c r="AZ36" s="2223"/>
      <c r="BA36" s="2223"/>
      <c r="BB36" s="2223"/>
      <c r="BC36" s="2223"/>
      <c r="BD36" s="2224"/>
      <c r="BE36" s="1196"/>
    </row>
    <row r="37" spans="1:58" ht="15.75" customHeight="1">
      <c r="A37" s="1192"/>
      <c r="B37" s="2166" t="s">
        <v>2423</v>
      </c>
      <c r="C37" s="2167"/>
      <c r="D37" s="2167"/>
      <c r="E37" s="2167"/>
      <c r="F37" s="2167"/>
      <c r="G37" s="2167"/>
      <c r="H37" s="2167"/>
      <c r="I37" s="2167"/>
      <c r="J37" s="2231" t="s">
        <v>2422</v>
      </c>
      <c r="K37" s="2231"/>
      <c r="L37" s="2231"/>
      <c r="M37" s="2231"/>
      <c r="N37" s="2231">
        <v>55</v>
      </c>
      <c r="O37" s="2231"/>
      <c r="P37" s="2231"/>
      <c r="Q37" s="2231"/>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16"/>
      <c r="AM37" s="2217"/>
      <c r="AN37" s="2217"/>
      <c r="AO37" s="2218"/>
      <c r="AP37" s="2216"/>
      <c r="AQ37" s="2217"/>
      <c r="AR37" s="2218"/>
      <c r="AS37" s="2219">
        <f t="shared" si="2"/>
        <v>0</v>
      </c>
      <c r="AT37" s="2220"/>
      <c r="AU37" s="2220"/>
      <c r="AV37" s="2220"/>
      <c r="AW37" s="2220"/>
      <c r="AX37" s="2221"/>
      <c r="AY37" s="2222">
        <f t="shared" si="3"/>
        <v>0</v>
      </c>
      <c r="AZ37" s="2223"/>
      <c r="BA37" s="2223"/>
      <c r="BB37" s="2223"/>
      <c r="BC37" s="2223"/>
      <c r="BD37" s="2224"/>
      <c r="BE37" s="1196"/>
    </row>
    <row r="38" spans="1:58" ht="15.75" customHeight="1">
      <c r="A38" s="1192"/>
      <c r="B38" s="2166" t="s">
        <v>2421</v>
      </c>
      <c r="C38" s="2167"/>
      <c r="D38" s="2167"/>
      <c r="E38" s="2167"/>
      <c r="F38" s="2167"/>
      <c r="G38" s="2167"/>
      <c r="H38" s="2167"/>
      <c r="I38" s="2167"/>
      <c r="J38" s="2231" t="s">
        <v>2420</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16"/>
      <c r="AM38" s="2217"/>
      <c r="AN38" s="2217"/>
      <c r="AO38" s="2218"/>
      <c r="AP38" s="2216"/>
      <c r="AQ38" s="2217"/>
      <c r="AR38" s="2218"/>
      <c r="AS38" s="2219">
        <f t="shared" si="2"/>
        <v>0</v>
      </c>
      <c r="AT38" s="2220"/>
      <c r="AU38" s="2220"/>
      <c r="AV38" s="2220"/>
      <c r="AW38" s="2220"/>
      <c r="AX38" s="2221"/>
      <c r="AY38" s="2222">
        <f t="shared" si="3"/>
        <v>0</v>
      </c>
      <c r="AZ38" s="2223"/>
      <c r="BA38" s="2223"/>
      <c r="BB38" s="2223"/>
      <c r="BC38" s="2223"/>
      <c r="BD38" s="2224"/>
      <c r="BE38" s="1196"/>
    </row>
    <row r="39" spans="1:58" ht="15.75" customHeight="1">
      <c r="A39" s="1192"/>
      <c r="B39" s="2166" t="s">
        <v>2419</v>
      </c>
      <c r="C39" s="2167"/>
      <c r="D39" s="2167"/>
      <c r="E39" s="2167"/>
      <c r="F39" s="2167"/>
      <c r="G39" s="2167"/>
      <c r="H39" s="2167"/>
      <c r="I39" s="2167"/>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16"/>
      <c r="AM39" s="2217"/>
      <c r="AN39" s="2217"/>
      <c r="AO39" s="2218"/>
      <c r="AP39" s="2216"/>
      <c r="AQ39" s="2217"/>
      <c r="AR39" s="2218"/>
      <c r="AS39" s="2219">
        <f t="shared" si="2"/>
        <v>0</v>
      </c>
      <c r="AT39" s="2220"/>
      <c r="AU39" s="2220"/>
      <c r="AV39" s="2220"/>
      <c r="AW39" s="2220"/>
      <c r="AX39" s="2221"/>
      <c r="AY39" s="2222">
        <f t="shared" si="3"/>
        <v>0</v>
      </c>
      <c r="AZ39" s="2223"/>
      <c r="BA39" s="2223"/>
      <c r="BB39" s="2223"/>
      <c r="BC39" s="2223"/>
      <c r="BD39" s="2224"/>
      <c r="BE39" s="1196"/>
    </row>
    <row r="40" spans="1:58" ht="15.75" customHeight="1">
      <c r="A40" s="1192"/>
      <c r="B40" s="2166" t="s">
        <v>2419</v>
      </c>
      <c r="C40" s="2167"/>
      <c r="D40" s="2167"/>
      <c r="E40" s="2167"/>
      <c r="F40" s="2167"/>
      <c r="G40" s="2167"/>
      <c r="H40" s="2167"/>
      <c r="I40" s="2167"/>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16"/>
      <c r="AM40" s="2217"/>
      <c r="AN40" s="2217"/>
      <c r="AO40" s="2218"/>
      <c r="AP40" s="2216"/>
      <c r="AQ40" s="2217"/>
      <c r="AR40" s="2218"/>
      <c r="AS40" s="2219">
        <f t="shared" si="2"/>
        <v>0</v>
      </c>
      <c r="AT40" s="2220"/>
      <c r="AU40" s="2220"/>
      <c r="AV40" s="2220"/>
      <c r="AW40" s="2220"/>
      <c r="AX40" s="2221"/>
      <c r="AY40" s="2222">
        <f t="shared" si="3"/>
        <v>0</v>
      </c>
      <c r="AZ40" s="2223"/>
      <c r="BA40" s="2223"/>
      <c r="BB40" s="2223"/>
      <c r="BC40" s="2223"/>
      <c r="BD40" s="2224"/>
      <c r="BE40" s="1196"/>
    </row>
    <row r="41" spans="1:58" ht="15.75" customHeight="1">
      <c r="A41" s="1192"/>
      <c r="B41" s="2166" t="s">
        <v>2418</v>
      </c>
      <c r="C41" s="2167"/>
      <c r="D41" s="2167"/>
      <c r="E41" s="2167"/>
      <c r="F41" s="2167"/>
      <c r="G41" s="2167"/>
      <c r="H41" s="2167"/>
      <c r="I41" s="2167"/>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16"/>
      <c r="AM41" s="2217"/>
      <c r="AN41" s="2217"/>
      <c r="AO41" s="2218"/>
      <c r="AP41" s="2216"/>
      <c r="AQ41" s="2217"/>
      <c r="AR41" s="2218"/>
      <c r="AS41" s="2219">
        <f t="shared" si="2"/>
        <v>0</v>
      </c>
      <c r="AT41" s="2220"/>
      <c r="AU41" s="2220"/>
      <c r="AV41" s="2220"/>
      <c r="AW41" s="2220"/>
      <c r="AX41" s="2221"/>
      <c r="AY41" s="2222">
        <f t="shared" si="3"/>
        <v>0</v>
      </c>
      <c r="AZ41" s="2223"/>
      <c r="BA41" s="2223"/>
      <c r="BB41" s="2223"/>
      <c r="BC41" s="2223"/>
      <c r="BD41" s="2224"/>
      <c r="BE41" s="1196"/>
    </row>
    <row r="42" spans="1:58" ht="15.75" customHeight="1">
      <c r="A42" s="1192"/>
      <c r="B42" s="2166" t="s">
        <v>2418</v>
      </c>
      <c r="C42" s="2167"/>
      <c r="D42" s="2167"/>
      <c r="E42" s="2167"/>
      <c r="F42" s="2167"/>
      <c r="G42" s="2167"/>
      <c r="H42" s="2167"/>
      <c r="I42" s="2167"/>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16"/>
      <c r="AM42" s="2217"/>
      <c r="AN42" s="2217"/>
      <c r="AO42" s="2218"/>
      <c r="AP42" s="2216"/>
      <c r="AQ42" s="2217"/>
      <c r="AR42" s="2218"/>
      <c r="AS42" s="2219">
        <f t="shared" si="2"/>
        <v>0</v>
      </c>
      <c r="AT42" s="2220"/>
      <c r="AU42" s="2220"/>
      <c r="AV42" s="2220"/>
      <c r="AW42" s="2220"/>
      <c r="AX42" s="2221"/>
      <c r="AY42" s="2222">
        <f t="shared" si="3"/>
        <v>0</v>
      </c>
      <c r="AZ42" s="2223"/>
      <c r="BA42" s="2223"/>
      <c r="BB42" s="2223"/>
      <c r="BC42" s="2223"/>
      <c r="BD42" s="2224"/>
      <c r="BE42" s="1196"/>
    </row>
    <row r="43" spans="1:58" ht="15.75" customHeight="1">
      <c r="A43" s="1192"/>
      <c r="B43" s="2171" t="s">
        <v>2417</v>
      </c>
      <c r="C43" s="2172"/>
      <c r="D43" s="2172"/>
      <c r="E43" s="2172"/>
      <c r="F43" s="2172"/>
      <c r="G43" s="2172"/>
      <c r="H43" s="2172"/>
      <c r="I43" s="2172"/>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16"/>
      <c r="AM43" s="2217"/>
      <c r="AN43" s="2217"/>
      <c r="AO43" s="2218"/>
      <c r="AP43" s="2216"/>
      <c r="AQ43" s="2217"/>
      <c r="AR43" s="2218"/>
      <c r="AS43" s="2219">
        <f t="shared" si="2"/>
        <v>0</v>
      </c>
      <c r="AT43" s="2220"/>
      <c r="AU43" s="2220"/>
      <c r="AV43" s="2220"/>
      <c r="AW43" s="2220"/>
      <c r="AX43" s="2221"/>
      <c r="AY43" s="2222">
        <f t="shared" si="3"/>
        <v>0</v>
      </c>
      <c r="AZ43" s="2223"/>
      <c r="BA43" s="2223"/>
      <c r="BB43" s="2223"/>
      <c r="BC43" s="2223"/>
      <c r="BD43" s="2224"/>
      <c r="BE43" s="1196"/>
    </row>
    <row r="44" spans="1:58" ht="15.75" customHeight="1">
      <c r="A44" s="1192"/>
      <c r="B44" s="2171" t="s">
        <v>2416</v>
      </c>
      <c r="C44" s="2172"/>
      <c r="D44" s="2172"/>
      <c r="E44" s="2172"/>
      <c r="F44" s="2172"/>
      <c r="G44" s="2172"/>
      <c r="H44" s="2172"/>
      <c r="I44" s="2172"/>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16"/>
      <c r="AM44" s="2217"/>
      <c r="AN44" s="2217"/>
      <c r="AO44" s="2218"/>
      <c r="AP44" s="2216"/>
      <c r="AQ44" s="2217"/>
      <c r="AR44" s="2218"/>
      <c r="AS44" s="2219">
        <f t="shared" si="2"/>
        <v>0</v>
      </c>
      <c r="AT44" s="2220"/>
      <c r="AU44" s="2220"/>
      <c r="AV44" s="2220"/>
      <c r="AW44" s="2220"/>
      <c r="AX44" s="2221"/>
      <c r="AY44" s="2222">
        <f t="shared" si="3"/>
        <v>0</v>
      </c>
      <c r="AZ44" s="2223"/>
      <c r="BA44" s="2223"/>
      <c r="BB44" s="2223"/>
      <c r="BC44" s="2223"/>
      <c r="BD44" s="2224"/>
      <c r="BE44" s="1196"/>
    </row>
    <row r="45" spans="1:58" ht="15.75" customHeight="1">
      <c r="A45" s="1192"/>
      <c r="B45" s="2171" t="s">
        <v>2415</v>
      </c>
      <c r="C45" s="2172"/>
      <c r="D45" s="2172"/>
      <c r="E45" s="2172"/>
      <c r="F45" s="2172"/>
      <c r="G45" s="2172"/>
      <c r="H45" s="2172"/>
      <c r="I45" s="2172"/>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16"/>
      <c r="AM45" s="2217"/>
      <c r="AN45" s="2217"/>
      <c r="AO45" s="2218"/>
      <c r="AP45" s="2216"/>
      <c r="AQ45" s="2217"/>
      <c r="AR45" s="2218"/>
      <c r="AS45" s="2219">
        <f t="shared" si="2"/>
        <v>0</v>
      </c>
      <c r="AT45" s="2220"/>
      <c r="AU45" s="2220"/>
      <c r="AV45" s="2220"/>
      <c r="AW45" s="2220"/>
      <c r="AX45" s="2221"/>
      <c r="AY45" s="2222">
        <f t="shared" si="3"/>
        <v>0</v>
      </c>
      <c r="AZ45" s="2223"/>
      <c r="BA45" s="2223"/>
      <c r="BB45" s="2223"/>
      <c r="BC45" s="2223"/>
      <c r="BD45" s="2224"/>
      <c r="BE45" s="1196"/>
    </row>
    <row r="46" spans="1:58" ht="15.75" customHeight="1">
      <c r="A46" s="1192"/>
      <c r="B46" s="2171" t="s">
        <v>2339</v>
      </c>
      <c r="C46" s="2172"/>
      <c r="D46" s="2172"/>
      <c r="E46" s="2172"/>
      <c r="F46" s="2172"/>
      <c r="G46" s="2172"/>
      <c r="H46" s="2172"/>
      <c r="I46" s="2172"/>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16"/>
      <c r="AM46" s="2217"/>
      <c r="AN46" s="2217"/>
      <c r="AO46" s="2218"/>
      <c r="AP46" s="2216"/>
      <c r="AQ46" s="2217"/>
      <c r="AR46" s="2218"/>
      <c r="AS46" s="2219">
        <f t="shared" si="2"/>
        <v>0</v>
      </c>
      <c r="AT46" s="2220"/>
      <c r="AU46" s="2220"/>
      <c r="AV46" s="2220"/>
      <c r="AW46" s="2220"/>
      <c r="AX46" s="2221"/>
      <c r="AY46" s="2222">
        <f t="shared" si="3"/>
        <v>0</v>
      </c>
      <c r="AZ46" s="2223"/>
      <c r="BA46" s="2223"/>
      <c r="BB46" s="2223"/>
      <c r="BC46" s="2223"/>
      <c r="BD46" s="2224"/>
      <c r="BE46" s="1196"/>
    </row>
    <row r="47" spans="1:58" ht="15.75" customHeight="1" thickBot="1">
      <c r="A47" s="1192"/>
      <c r="B47" s="2225" t="s">
        <v>300</v>
      </c>
      <c r="C47" s="2226"/>
      <c r="D47" s="2226"/>
      <c r="E47" s="2226"/>
      <c r="F47" s="2226"/>
      <c r="G47" s="2226"/>
      <c r="H47" s="2226"/>
      <c r="I47" s="2226"/>
      <c r="J47" s="2227"/>
      <c r="K47" s="2227"/>
      <c r="L47" s="2227"/>
      <c r="M47" s="2227"/>
      <c r="N47" s="2227"/>
      <c r="O47" s="2227"/>
      <c r="P47" s="2227"/>
      <c r="Q47" s="2227"/>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3"/>
      <c r="AM47" s="2214"/>
      <c r="AN47" s="2214"/>
      <c r="AO47" s="2215"/>
      <c r="AP47" s="2213"/>
      <c r="AQ47" s="2214"/>
      <c r="AR47" s="2215"/>
      <c r="AS47" s="2219">
        <f t="shared" si="2"/>
        <v>0</v>
      </c>
      <c r="AT47" s="2220"/>
      <c r="AU47" s="2220"/>
      <c r="AV47" s="2220"/>
      <c r="AW47" s="2220"/>
      <c r="AX47" s="2221"/>
      <c r="AY47" s="2228">
        <f t="shared" si="3"/>
        <v>0</v>
      </c>
      <c r="AZ47" s="2229"/>
      <c r="BA47" s="2229"/>
      <c r="BB47" s="2229"/>
      <c r="BC47" s="2229"/>
      <c r="BD47" s="2230"/>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5" t="s">
        <v>2412</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41" t="s">
        <v>2405</v>
      </c>
      <c r="C51" s="2106"/>
      <c r="D51" s="2106"/>
      <c r="E51" s="2106"/>
      <c r="F51" s="2106"/>
      <c r="G51" s="2106"/>
      <c r="H51" s="2106"/>
      <c r="I51" s="2106"/>
      <c r="J51" s="2106" t="s">
        <v>2411</v>
      </c>
      <c r="K51" s="2106"/>
      <c r="L51" s="2106"/>
      <c r="M51" s="2106"/>
      <c r="N51" s="2106"/>
      <c r="O51" s="2106"/>
      <c r="P51" s="2106"/>
      <c r="Q51" s="2106"/>
      <c r="R51" s="2210" t="s">
        <v>2410</v>
      </c>
      <c r="S51" s="2210"/>
      <c r="T51" s="2210"/>
      <c r="U51" s="2210"/>
      <c r="V51" s="2210"/>
      <c r="W51" s="2210"/>
      <c r="X51" s="2210"/>
      <c r="Y51" s="2210"/>
      <c r="Z51" s="2210" t="s">
        <v>2409</v>
      </c>
      <c r="AA51" s="2210"/>
      <c r="AB51" s="2210"/>
      <c r="AC51" s="2210"/>
      <c r="AD51" s="2210"/>
      <c r="AE51" s="2210"/>
      <c r="AF51" s="2210"/>
      <c r="AG51" s="2210"/>
      <c r="AH51" s="2210" t="s">
        <v>2408</v>
      </c>
      <c r="AI51" s="2210"/>
      <c r="AJ51" s="2210"/>
      <c r="AK51" s="2210"/>
      <c r="AL51" s="2210"/>
      <c r="AM51" s="2210"/>
      <c r="AN51" s="2210"/>
      <c r="AO51" s="22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71" t="s">
        <v>2407</v>
      </c>
      <c r="C52" s="2172"/>
      <c r="D52" s="2172"/>
      <c r="E52" s="2172"/>
      <c r="F52" s="2172"/>
      <c r="G52" s="2172"/>
      <c r="H52" s="2172"/>
      <c r="I52" s="2172"/>
      <c r="J52" s="1992">
        <v>0</v>
      </c>
      <c r="K52" s="1992"/>
      <c r="L52" s="1992"/>
      <c r="M52" s="1992"/>
      <c r="N52" s="1992"/>
      <c r="O52" s="1992"/>
      <c r="P52" s="1992"/>
      <c r="Q52" s="1992"/>
      <c r="R52" s="2202">
        <v>0</v>
      </c>
      <c r="S52" s="2202"/>
      <c r="T52" s="2202"/>
      <c r="U52" s="2202"/>
      <c r="V52" s="2202"/>
      <c r="W52" s="2202"/>
      <c r="X52" s="2202"/>
      <c r="Y52" s="2202"/>
      <c r="Z52" s="2203">
        <v>0</v>
      </c>
      <c r="AA52" s="2203"/>
      <c r="AB52" s="2203"/>
      <c r="AC52" s="2203"/>
      <c r="AD52" s="2203"/>
      <c r="AE52" s="2203"/>
      <c r="AF52" s="2203"/>
      <c r="AG52" s="2203"/>
      <c r="AH52" s="2204"/>
      <c r="AI52" s="2204"/>
      <c r="AJ52" s="2204"/>
      <c r="AK52" s="2204"/>
      <c r="AL52" s="2204"/>
      <c r="AM52" s="2204"/>
      <c r="AN52" s="2204"/>
      <c r="AO52" s="2205"/>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71" t="s">
        <v>2406</v>
      </c>
      <c r="C53" s="2172"/>
      <c r="D53" s="2172"/>
      <c r="E53" s="2172"/>
      <c r="F53" s="2172"/>
      <c r="G53" s="2172"/>
      <c r="H53" s="2172"/>
      <c r="I53" s="2172"/>
      <c r="J53" s="1992">
        <v>0</v>
      </c>
      <c r="K53" s="1992"/>
      <c r="L53" s="1992"/>
      <c r="M53" s="1992"/>
      <c r="N53" s="1992"/>
      <c r="O53" s="1992"/>
      <c r="P53" s="1992"/>
      <c r="Q53" s="1992"/>
      <c r="R53" s="2202">
        <v>0</v>
      </c>
      <c r="S53" s="2202"/>
      <c r="T53" s="2202"/>
      <c r="U53" s="2202"/>
      <c r="V53" s="2202"/>
      <c r="W53" s="2202"/>
      <c r="X53" s="2202"/>
      <c r="Y53" s="2202"/>
      <c r="Z53" s="2203">
        <v>0</v>
      </c>
      <c r="AA53" s="2203"/>
      <c r="AB53" s="2203"/>
      <c r="AC53" s="2203"/>
      <c r="AD53" s="2203"/>
      <c r="AE53" s="2203"/>
      <c r="AF53" s="2203"/>
      <c r="AG53" s="2203"/>
      <c r="AH53" s="2204"/>
      <c r="AI53" s="2204"/>
      <c r="AJ53" s="2204"/>
      <c r="AK53" s="2204"/>
      <c r="AL53" s="2204"/>
      <c r="AM53" s="2204"/>
      <c r="AN53" s="2204"/>
      <c r="AO53" s="2205"/>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71"/>
      <c r="C54" s="2172"/>
      <c r="D54" s="2172"/>
      <c r="E54" s="2172"/>
      <c r="F54" s="2172"/>
      <c r="G54" s="2172"/>
      <c r="H54" s="2172"/>
      <c r="I54" s="2172"/>
      <c r="J54" s="1992"/>
      <c r="K54" s="1992"/>
      <c r="L54" s="1992"/>
      <c r="M54" s="1992"/>
      <c r="N54" s="1992"/>
      <c r="O54" s="1992"/>
      <c r="P54" s="1992"/>
      <c r="Q54" s="1992"/>
      <c r="R54" s="2202"/>
      <c r="S54" s="2202"/>
      <c r="T54" s="2202"/>
      <c r="U54" s="2202"/>
      <c r="V54" s="2202"/>
      <c r="W54" s="2202"/>
      <c r="X54" s="2202"/>
      <c r="Y54" s="2202"/>
      <c r="Z54" s="2203"/>
      <c r="AA54" s="2203"/>
      <c r="AB54" s="2203"/>
      <c r="AC54" s="2203"/>
      <c r="AD54" s="2203"/>
      <c r="AE54" s="2203"/>
      <c r="AF54" s="2203"/>
      <c r="AG54" s="2203"/>
      <c r="AH54" s="2204"/>
      <c r="AI54" s="2204"/>
      <c r="AJ54" s="2204"/>
      <c r="AK54" s="2204"/>
      <c r="AL54" s="2204"/>
      <c r="AM54" s="2204"/>
      <c r="AN54" s="2204"/>
      <c r="AO54" s="2205"/>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71"/>
      <c r="C55" s="2172"/>
      <c r="D55" s="2172"/>
      <c r="E55" s="2172"/>
      <c r="F55" s="2172"/>
      <c r="G55" s="2172"/>
      <c r="H55" s="2172"/>
      <c r="I55" s="2172"/>
      <c r="J55" s="1992"/>
      <c r="K55" s="1992"/>
      <c r="L55" s="1992"/>
      <c r="M55" s="1992"/>
      <c r="N55" s="1992"/>
      <c r="O55" s="1992"/>
      <c r="P55" s="1992"/>
      <c r="Q55" s="1992"/>
      <c r="R55" s="2202"/>
      <c r="S55" s="2202"/>
      <c r="T55" s="2202"/>
      <c r="U55" s="2202"/>
      <c r="V55" s="2202"/>
      <c r="W55" s="2202"/>
      <c r="X55" s="2202"/>
      <c r="Y55" s="2202"/>
      <c r="Z55" s="2203"/>
      <c r="AA55" s="2203"/>
      <c r="AB55" s="2203"/>
      <c r="AC55" s="2203"/>
      <c r="AD55" s="2203"/>
      <c r="AE55" s="2203"/>
      <c r="AF55" s="2203"/>
      <c r="AG55" s="2203"/>
      <c r="AH55" s="2204"/>
      <c r="AI55" s="2204"/>
      <c r="AJ55" s="2204"/>
      <c r="AK55" s="2204"/>
      <c r="AL55" s="2204"/>
      <c r="AM55" s="2204"/>
      <c r="AN55" s="2204"/>
      <c r="AO55" s="2205"/>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71"/>
      <c r="C56" s="2172"/>
      <c r="D56" s="2172"/>
      <c r="E56" s="2172"/>
      <c r="F56" s="2172"/>
      <c r="G56" s="2172"/>
      <c r="H56" s="2172"/>
      <c r="I56" s="2172"/>
      <c r="J56" s="1992"/>
      <c r="K56" s="1992"/>
      <c r="L56" s="1992"/>
      <c r="M56" s="1992"/>
      <c r="N56" s="1992"/>
      <c r="O56" s="1992"/>
      <c r="P56" s="1992"/>
      <c r="Q56" s="1992"/>
      <c r="R56" s="2202"/>
      <c r="S56" s="2202"/>
      <c r="T56" s="2202"/>
      <c r="U56" s="2202"/>
      <c r="V56" s="2202"/>
      <c r="W56" s="2202"/>
      <c r="X56" s="2202"/>
      <c r="Y56" s="2202"/>
      <c r="Z56" s="2203"/>
      <c r="AA56" s="2203"/>
      <c r="AB56" s="2203"/>
      <c r="AC56" s="2203"/>
      <c r="AD56" s="2203"/>
      <c r="AE56" s="2203"/>
      <c r="AF56" s="2203"/>
      <c r="AG56" s="2203"/>
      <c r="AH56" s="2204"/>
      <c r="AI56" s="2204"/>
      <c r="AJ56" s="2204"/>
      <c r="AK56" s="2204"/>
      <c r="AL56" s="2204"/>
      <c r="AM56" s="2204"/>
      <c r="AN56" s="2204"/>
      <c r="AO56" s="2205"/>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6" t="s">
        <v>1586</v>
      </c>
      <c r="C57" s="2137"/>
      <c r="D57" s="2137"/>
      <c r="E57" s="2137"/>
      <c r="F57" s="2137"/>
      <c r="G57" s="2137"/>
      <c r="H57" s="2137"/>
      <c r="I57" s="2137"/>
      <c r="J57" s="2137"/>
      <c r="K57" s="2137"/>
      <c r="L57" s="2137"/>
      <c r="M57" s="2137"/>
      <c r="N57" s="2137"/>
      <c r="O57" s="2137"/>
      <c r="P57" s="2137"/>
      <c r="Q57" s="2137"/>
      <c r="R57" s="2206">
        <f>SUM(R52:Y56)</f>
        <v>0</v>
      </c>
      <c r="S57" s="2206"/>
      <c r="T57" s="2206"/>
      <c r="U57" s="2206"/>
      <c r="V57" s="2206"/>
      <c r="W57" s="2206"/>
      <c r="X57" s="2206"/>
      <c r="Y57" s="2206"/>
      <c r="Z57" s="2207">
        <f>SUM(Z52:AG56)</f>
        <v>0</v>
      </c>
      <c r="AA57" s="2207"/>
      <c r="AB57" s="2207"/>
      <c r="AC57" s="2207"/>
      <c r="AD57" s="2207"/>
      <c r="AE57" s="2207"/>
      <c r="AF57" s="2207"/>
      <c r="AG57" s="2207"/>
      <c r="AH57" s="2208"/>
      <c r="AI57" s="2208"/>
      <c r="AJ57" s="2208"/>
      <c r="AK57" s="2208"/>
      <c r="AL57" s="2208"/>
      <c r="AM57" s="2208"/>
      <c r="AN57" s="2208"/>
      <c r="AO57" s="220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9" t="s">
        <v>2405</v>
      </c>
      <c r="C59" s="2200"/>
      <c r="D59" s="2200"/>
      <c r="E59" s="2200"/>
      <c r="F59" s="2200"/>
      <c r="G59" s="2200"/>
      <c r="H59" s="2200"/>
      <c r="I59" s="2201"/>
      <c r="J59" s="2104" t="s">
        <v>2404</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92"/>
      <c r="AY59" s="1192"/>
      <c r="AZ59" s="1192"/>
      <c r="BA59" s="1192"/>
      <c r="BB59" s="1192"/>
      <c r="BC59" s="1192"/>
      <c r="BD59" s="1192"/>
      <c r="BE59" s="1196"/>
    </row>
    <row r="60" spans="1:58" ht="15.75" customHeight="1">
      <c r="A60" s="1192"/>
      <c r="B60" s="2191" t="str">
        <f>IF(B52="", "", B52)</f>
        <v>Services Company 1</v>
      </c>
      <c r="C60" s="2192"/>
      <c r="D60" s="2192"/>
      <c r="E60" s="2192"/>
      <c r="F60" s="2192"/>
      <c r="G60" s="2192"/>
      <c r="H60" s="2192"/>
      <c r="I60" s="2193"/>
      <c r="J60" s="2194"/>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192"/>
      <c r="AY60" s="1192"/>
      <c r="AZ60" s="1192"/>
      <c r="BA60" s="1192"/>
      <c r="BB60" s="1192"/>
      <c r="BC60" s="1192"/>
      <c r="BD60" s="1192"/>
      <c r="BE60" s="1196"/>
    </row>
    <row r="61" spans="1:58" ht="15.75" customHeight="1">
      <c r="A61" s="1192"/>
      <c r="B61" s="2191" t="str">
        <f>IF(B53="", "", B53)</f>
        <v>Services Company 2</v>
      </c>
      <c r="C61" s="2192"/>
      <c r="D61" s="2192"/>
      <c r="E61" s="2192"/>
      <c r="F61" s="2192"/>
      <c r="G61" s="2192"/>
      <c r="H61" s="2192"/>
      <c r="I61" s="2193"/>
      <c r="J61" s="2194"/>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192"/>
      <c r="AY61" s="1192"/>
      <c r="AZ61" s="1192"/>
      <c r="BA61" s="1192"/>
      <c r="BB61" s="1192"/>
      <c r="BC61" s="1192"/>
      <c r="BD61" s="1192"/>
      <c r="BE61" s="1196"/>
    </row>
    <row r="62" spans="1:58" ht="15.75" customHeight="1">
      <c r="A62" s="1192"/>
      <c r="B62" s="2191" t="str">
        <f>IF(B54="", "", B54)</f>
        <v/>
      </c>
      <c r="C62" s="2192"/>
      <c r="D62" s="2192"/>
      <c r="E62" s="2192"/>
      <c r="F62" s="2192"/>
      <c r="G62" s="2192"/>
      <c r="H62" s="2192"/>
      <c r="I62" s="2193"/>
      <c r="J62" s="2194"/>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192"/>
      <c r="AY62" s="1192"/>
      <c r="AZ62" s="1192"/>
      <c r="BA62" s="1192"/>
      <c r="BB62" s="1192"/>
      <c r="BC62" s="1192"/>
      <c r="BD62" s="1192"/>
      <c r="BE62" s="1196"/>
    </row>
    <row r="63" spans="1:58" ht="15.75" customHeight="1">
      <c r="A63" s="1192"/>
      <c r="B63" s="2191" t="str">
        <f>IF(B55="", "", B55)</f>
        <v/>
      </c>
      <c r="C63" s="2192"/>
      <c r="D63" s="2192"/>
      <c r="E63" s="2192"/>
      <c r="F63" s="2192"/>
      <c r="G63" s="2192"/>
      <c r="H63" s="2192"/>
      <c r="I63" s="2193"/>
      <c r="J63" s="2194"/>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192"/>
      <c r="AY63" s="1192"/>
      <c r="AZ63" s="1192"/>
      <c r="BA63" s="1192"/>
      <c r="BB63" s="1192"/>
      <c r="BC63" s="1192"/>
      <c r="BD63" s="1192"/>
      <c r="BE63" s="1196"/>
    </row>
    <row r="64" spans="1:58" ht="15.75" customHeight="1" thickBot="1">
      <c r="A64" s="1192"/>
      <c r="B64" s="2195" t="str">
        <f>IF(B56="", "", B56)</f>
        <v/>
      </c>
      <c r="C64" s="2196"/>
      <c r="D64" s="2196"/>
      <c r="E64" s="2196"/>
      <c r="F64" s="2196"/>
      <c r="G64" s="2196"/>
      <c r="H64" s="2196"/>
      <c r="I64" s="2197"/>
      <c r="J64" s="2198"/>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AV64" s="2181"/>
      <c r="AW64" s="2182"/>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3" t="s">
        <v>2402</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92"/>
      <c r="AC68" s="2029" t="s">
        <v>2401</v>
      </c>
      <c r="AD68" s="2030"/>
      <c r="AE68" s="2030"/>
      <c r="AF68" s="2030"/>
      <c r="AG68" s="2030"/>
      <c r="AH68" s="2030"/>
      <c r="AI68" s="2030"/>
      <c r="AJ68" s="2030"/>
      <c r="AK68" s="2030"/>
      <c r="AL68" s="2030"/>
      <c r="AM68" s="2030"/>
      <c r="AN68" s="2030"/>
      <c r="AO68" s="2030"/>
      <c r="AP68" s="2030"/>
      <c r="AQ68" s="2030"/>
      <c r="AR68" s="2030"/>
      <c r="AS68" s="2030"/>
      <c r="AT68" s="2030"/>
      <c r="AU68" s="2030"/>
      <c r="AV68" s="2183" t="s">
        <v>669</v>
      </c>
      <c r="AW68" s="2086"/>
      <c r="AX68" s="2086"/>
      <c r="AY68" s="2086"/>
      <c r="AZ68" s="2086"/>
      <c r="BA68" s="2086"/>
      <c r="BB68" s="2086"/>
      <c r="BC68" s="2087"/>
      <c r="BD68" s="1192"/>
      <c r="BE68" s="1196"/>
      <c r="BM68" s="1201" t="s">
        <v>2400</v>
      </c>
    </row>
    <row r="69" spans="1:94" ht="15.75" customHeight="1" thickTop="1" thickBot="1">
      <c r="A69" s="1192"/>
      <c r="B69" s="2184" t="s">
        <v>2399</v>
      </c>
      <c r="C69" s="2185"/>
      <c r="D69" s="2185"/>
      <c r="E69" s="2185"/>
      <c r="F69" s="2185"/>
      <c r="G69" s="2185"/>
      <c r="H69" s="2185"/>
      <c r="I69" s="2185"/>
      <c r="J69" s="2185"/>
      <c r="K69" s="2185"/>
      <c r="L69" s="2185"/>
      <c r="M69" s="2185"/>
      <c r="N69" s="2185"/>
      <c r="O69" s="2186" t="s">
        <v>2398</v>
      </c>
      <c r="P69" s="2187"/>
      <c r="Q69" s="2187"/>
      <c r="R69" s="2187"/>
      <c r="S69" s="2187"/>
      <c r="T69" s="2187"/>
      <c r="U69" s="2187"/>
      <c r="V69" s="2187"/>
      <c r="W69" s="2187"/>
      <c r="X69" s="2187"/>
      <c r="Y69" s="2187"/>
      <c r="Z69" s="2187"/>
      <c r="AA69" s="2188"/>
      <c r="AB69" s="1192"/>
      <c r="AC69" s="2189" t="s">
        <v>2397</v>
      </c>
      <c r="AD69" s="2190"/>
      <c r="AE69" s="2190"/>
      <c r="AF69" s="2190"/>
      <c r="AG69" s="2190"/>
      <c r="AH69" s="2190"/>
      <c r="AI69" s="2190"/>
      <c r="AJ69" s="2190"/>
      <c r="AK69" s="2190"/>
      <c r="AL69" s="2190"/>
      <c r="AM69" s="2190"/>
      <c r="AN69" s="2190"/>
      <c r="AO69" s="2190"/>
      <c r="AP69" s="2190"/>
      <c r="AQ69" s="2190"/>
      <c r="AR69" s="2190"/>
      <c r="AS69" s="2190"/>
      <c r="AT69" s="2190"/>
      <c r="AU69" s="2190"/>
      <c r="AV69" s="2183" t="s">
        <v>669</v>
      </c>
      <c r="AW69" s="2086"/>
      <c r="AX69" s="2086"/>
      <c r="AY69" s="2086"/>
      <c r="AZ69" s="2086"/>
      <c r="BA69" s="2086"/>
      <c r="BB69" s="2086"/>
      <c r="BC69" s="2087"/>
      <c r="BD69" s="1192"/>
      <c r="BE69" s="1196"/>
      <c r="BM69" s="1202" t="s">
        <v>545</v>
      </c>
    </row>
    <row r="70" spans="1:94" ht="15.75" customHeight="1">
      <c r="A70" s="1192"/>
      <c r="B70" s="2166" t="s">
        <v>2396</v>
      </c>
      <c r="C70" s="2167"/>
      <c r="D70" s="2167"/>
      <c r="E70" s="2167"/>
      <c r="F70" s="2167"/>
      <c r="G70" s="2167"/>
      <c r="H70" s="2167"/>
      <c r="I70" s="2167"/>
      <c r="J70" s="2167"/>
      <c r="K70" s="2167"/>
      <c r="L70" s="2167"/>
      <c r="M70" s="2167"/>
      <c r="N70" s="2167"/>
      <c r="O70" s="2037">
        <v>0</v>
      </c>
      <c r="P70" s="2037"/>
      <c r="Q70" s="2037"/>
      <c r="R70" s="2037"/>
      <c r="S70" s="2037"/>
      <c r="T70" s="2037"/>
      <c r="U70" s="2037"/>
      <c r="V70" s="2037"/>
      <c r="W70" s="2037"/>
      <c r="X70" s="2037"/>
      <c r="Y70" s="2037"/>
      <c r="Z70" s="2037"/>
      <c r="AA70" s="2168"/>
      <c r="AB70" s="1192"/>
      <c r="AC70" s="2075" t="s">
        <v>2395</v>
      </c>
      <c r="AD70" s="2031"/>
      <c r="AE70" s="2031"/>
      <c r="AF70" s="2177"/>
      <c r="AG70" s="2177"/>
      <c r="AH70" s="2177"/>
      <c r="AI70" s="2177"/>
      <c r="AJ70" s="2177"/>
      <c r="AK70" s="2177"/>
      <c r="AL70" s="2177"/>
      <c r="AM70" s="2177"/>
      <c r="AN70" s="2177"/>
      <c r="AO70" s="2177"/>
      <c r="AP70" s="2177"/>
      <c r="AQ70" s="2177"/>
      <c r="AR70" s="2177"/>
      <c r="AS70" s="2177"/>
      <c r="AT70" s="2177"/>
      <c r="AU70" s="2178"/>
      <c r="AV70" s="1192"/>
      <c r="AW70" s="1192"/>
      <c r="AX70" s="1192"/>
      <c r="AY70" s="1192"/>
      <c r="AZ70" s="1192"/>
      <c r="BA70" s="1192"/>
      <c r="BB70" s="1192"/>
      <c r="BC70" s="1192"/>
      <c r="BD70" s="1192"/>
      <c r="BE70" s="1196"/>
      <c r="BM70" s="1203" t="s">
        <v>669</v>
      </c>
    </row>
    <row r="71" spans="1:94" ht="15.75" customHeight="1" thickBot="1">
      <c r="A71" s="1192"/>
      <c r="B71" s="2166" t="s">
        <v>2394</v>
      </c>
      <c r="C71" s="2167"/>
      <c r="D71" s="2167"/>
      <c r="E71" s="2167"/>
      <c r="F71" s="2167"/>
      <c r="G71" s="2167"/>
      <c r="H71" s="2167"/>
      <c r="I71" s="2167"/>
      <c r="J71" s="2167"/>
      <c r="K71" s="2167"/>
      <c r="L71" s="2167"/>
      <c r="M71" s="2167"/>
      <c r="N71" s="2167"/>
      <c r="O71" s="2037">
        <v>0</v>
      </c>
      <c r="P71" s="2037"/>
      <c r="Q71" s="2037"/>
      <c r="R71" s="2037"/>
      <c r="S71" s="2037"/>
      <c r="T71" s="2037"/>
      <c r="U71" s="2037"/>
      <c r="V71" s="2037"/>
      <c r="W71" s="2037"/>
      <c r="X71" s="2037"/>
      <c r="Y71" s="2037"/>
      <c r="Z71" s="2037"/>
      <c r="AA71" s="2168"/>
      <c r="AB71" s="1192"/>
      <c r="AC71" s="2179" t="s">
        <v>2393</v>
      </c>
      <c r="AD71" s="2180"/>
      <c r="AE71" s="2180"/>
      <c r="AF71" s="2181"/>
      <c r="AG71" s="2181"/>
      <c r="AH71" s="2181"/>
      <c r="AI71" s="2181"/>
      <c r="AJ71" s="2181"/>
      <c r="AK71" s="2181"/>
      <c r="AL71" s="2181"/>
      <c r="AM71" s="2181"/>
      <c r="AN71" s="2181"/>
      <c r="AO71" s="2181"/>
      <c r="AP71" s="2181"/>
      <c r="AQ71" s="2181"/>
      <c r="AR71" s="2181"/>
      <c r="AS71" s="2181"/>
      <c r="AT71" s="2181"/>
      <c r="AU71" s="2182"/>
      <c r="AV71" s="1192"/>
      <c r="AW71" s="1192"/>
      <c r="AX71" s="1192"/>
      <c r="AY71" s="1192"/>
      <c r="AZ71" s="1192"/>
      <c r="BA71" s="1192"/>
      <c r="BB71" s="1192"/>
      <c r="BC71" s="1192"/>
      <c r="BD71" s="1192"/>
      <c r="BE71" s="1196"/>
      <c r="BM71" s="1189" t="s">
        <v>2392</v>
      </c>
    </row>
    <row r="72" spans="1:94" ht="15.75" customHeight="1">
      <c r="A72" s="1192"/>
      <c r="B72" s="2166" t="s">
        <v>2391</v>
      </c>
      <c r="C72" s="2167"/>
      <c r="D72" s="2167"/>
      <c r="E72" s="2167"/>
      <c r="F72" s="2167"/>
      <c r="G72" s="2167"/>
      <c r="H72" s="2167"/>
      <c r="I72" s="2167"/>
      <c r="J72" s="2167"/>
      <c r="K72" s="2167"/>
      <c r="L72" s="2167"/>
      <c r="M72" s="2167"/>
      <c r="N72" s="2167"/>
      <c r="O72" s="2037">
        <v>0</v>
      </c>
      <c r="P72" s="2037"/>
      <c r="Q72" s="2037"/>
      <c r="R72" s="2037"/>
      <c r="S72" s="2037"/>
      <c r="T72" s="2037"/>
      <c r="U72" s="2037"/>
      <c r="V72" s="2037"/>
      <c r="W72" s="2037"/>
      <c r="X72" s="2037"/>
      <c r="Y72" s="2037"/>
      <c r="Z72" s="2037"/>
      <c r="AA72" s="2168"/>
      <c r="AB72" s="1192"/>
      <c r="AC72" s="2169" t="s">
        <v>2390</v>
      </c>
      <c r="AD72" s="2170"/>
      <c r="AE72" s="2170"/>
      <c r="AF72" s="2170"/>
      <c r="AG72" s="2170"/>
      <c r="AH72" s="2170"/>
      <c r="AI72" s="2170"/>
      <c r="AJ72" s="2170"/>
      <c r="AK72" s="2170"/>
      <c r="AL72" s="2170"/>
      <c r="AM72" s="2170"/>
      <c r="AN72" s="2170"/>
      <c r="AO72" s="2170"/>
      <c r="AP72" s="2170"/>
      <c r="AQ72" s="2170"/>
      <c r="AR72" s="2170"/>
      <c r="AS72" s="2170"/>
      <c r="AT72" s="2170"/>
      <c r="AU72" s="2170"/>
      <c r="AV72" s="2031"/>
      <c r="AW72" s="2031"/>
      <c r="AX72" s="2031"/>
      <c r="AY72" s="2031"/>
      <c r="AZ72" s="2031"/>
      <c r="BA72" s="2031"/>
      <c r="BB72" s="2031"/>
      <c r="BC72" s="2032"/>
      <c r="BD72" s="1192"/>
      <c r="BE72" s="1196"/>
    </row>
    <row r="73" spans="1:94" ht="15.75" customHeight="1">
      <c r="A73" s="1192"/>
      <c r="B73" s="2171" t="s">
        <v>2389</v>
      </c>
      <c r="C73" s="2172"/>
      <c r="D73" s="2172"/>
      <c r="E73" s="2172"/>
      <c r="F73" s="2172"/>
      <c r="G73" s="2172"/>
      <c r="H73" s="2172"/>
      <c r="I73" s="2172"/>
      <c r="J73" s="2172"/>
      <c r="K73" s="2172"/>
      <c r="L73" s="2172"/>
      <c r="M73" s="2172"/>
      <c r="N73" s="2172"/>
      <c r="O73" s="2037">
        <v>0</v>
      </c>
      <c r="P73" s="2037"/>
      <c r="Q73" s="2037"/>
      <c r="R73" s="2037"/>
      <c r="S73" s="2037"/>
      <c r="T73" s="2037"/>
      <c r="U73" s="2037"/>
      <c r="V73" s="2037"/>
      <c r="W73" s="2037"/>
      <c r="X73" s="2037"/>
      <c r="Y73" s="2037"/>
      <c r="Z73" s="2037"/>
      <c r="AA73" s="2168"/>
      <c r="AB73" s="1192"/>
      <c r="AC73" s="2046" t="s">
        <v>2334</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192"/>
      <c r="BE73" s="1196"/>
      <c r="CK73" s="1190"/>
      <c r="CL73" s="1190"/>
      <c r="CM73" s="1190"/>
      <c r="CN73" s="1190"/>
      <c r="CO73" s="1190"/>
      <c r="CP73" s="1190"/>
    </row>
    <row r="74" spans="1:94" ht="15.75" customHeight="1">
      <c r="A74" s="1192"/>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68"/>
      <c r="AB74" s="1192"/>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192"/>
      <c r="BE74" s="1196"/>
      <c r="CK74" s="1190"/>
      <c r="CL74" s="1190"/>
      <c r="CM74" s="1190"/>
      <c r="CN74" s="1190"/>
      <c r="CO74" s="1190"/>
      <c r="CP74" s="1190"/>
    </row>
    <row r="75" spans="1:94" ht="15.75" customHeight="1" thickBot="1">
      <c r="A75" s="1192"/>
      <c r="B75" s="2173" t="s">
        <v>124</v>
      </c>
      <c r="C75" s="2174"/>
      <c r="D75" s="2174"/>
      <c r="E75" s="2174"/>
      <c r="F75" s="2174"/>
      <c r="G75" s="2174"/>
      <c r="H75" s="2174"/>
      <c r="I75" s="2174"/>
      <c r="J75" s="2174"/>
      <c r="K75" s="2174"/>
      <c r="L75" s="2174"/>
      <c r="M75" s="2174"/>
      <c r="N75" s="2174"/>
      <c r="O75" s="2175">
        <f>SUM(O70:AA74)</f>
        <v>0</v>
      </c>
      <c r="P75" s="2175"/>
      <c r="Q75" s="2175"/>
      <c r="R75" s="2175"/>
      <c r="S75" s="2175"/>
      <c r="T75" s="2175"/>
      <c r="U75" s="2175"/>
      <c r="V75" s="2175"/>
      <c r="W75" s="2175"/>
      <c r="X75" s="2175"/>
      <c r="Y75" s="2175"/>
      <c r="Z75" s="2175"/>
      <c r="AA75" s="2176"/>
      <c r="AB75" s="1192"/>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51"/>
      <c r="G79" s="2152"/>
      <c r="H79" s="2152"/>
      <c r="I79" s="2152"/>
      <c r="J79" s="2152"/>
      <c r="K79" s="2152"/>
      <c r="L79" s="2152"/>
      <c r="M79" s="2152"/>
      <c r="N79" s="2152"/>
      <c r="O79" s="2152"/>
      <c r="P79" s="2152"/>
      <c r="Q79" s="2152"/>
      <c r="R79" s="2152"/>
      <c r="S79" s="2152"/>
      <c r="T79" s="2153"/>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4" t="s">
        <v>2387</v>
      </c>
      <c r="C80" s="2155"/>
      <c r="D80" s="2155"/>
      <c r="E80" s="2155"/>
      <c r="F80" s="2155"/>
      <c r="G80" s="2155"/>
      <c r="H80" s="2155"/>
      <c r="I80" s="2155"/>
      <c r="J80" s="2155"/>
      <c r="K80" s="2155"/>
      <c r="L80" s="2155"/>
      <c r="M80" s="2155"/>
      <c r="N80" s="2155"/>
      <c r="O80" s="2155"/>
      <c r="P80" s="2155"/>
      <c r="Q80" s="2155"/>
      <c r="R80" s="2157" t="str">
        <f>IFERROR(INDEX(BR96:BR98,MATCH(F79,$BQ$96:$BQ$98,0))/SUM($BR$96:$BR$98),"")</f>
        <v/>
      </c>
      <c r="S80" s="2158"/>
      <c r="T80" s="215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60" t="s">
        <v>2386</v>
      </c>
      <c r="C81" s="2161"/>
      <c r="D81" s="2161"/>
      <c r="E81" s="2161"/>
      <c r="F81" s="2161"/>
      <c r="G81" s="2161"/>
      <c r="H81" s="2161"/>
      <c r="I81" s="2161"/>
      <c r="J81" s="2161"/>
      <c r="K81" s="2161"/>
      <c r="L81" s="2161"/>
      <c r="M81" s="2161"/>
      <c r="N81" s="2161"/>
      <c r="O81" s="2161"/>
      <c r="P81" s="2161"/>
      <c r="Q81" s="2161"/>
      <c r="R81" s="2142" t="s">
        <v>2190</v>
      </c>
      <c r="S81" s="2143"/>
      <c r="T81" s="214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3" t="s">
        <v>2385</v>
      </c>
      <c r="C83" s="2164"/>
      <c r="D83" s="2164"/>
      <c r="E83" s="2164"/>
      <c r="F83" s="2164"/>
      <c r="G83" s="2164"/>
      <c r="H83" s="2164"/>
      <c r="I83" s="2164"/>
      <c r="J83" s="2164"/>
      <c r="K83" s="2164"/>
      <c r="L83" s="2164"/>
      <c r="M83" s="2164"/>
      <c r="N83" s="2164"/>
      <c r="O83" s="2164"/>
      <c r="P83" s="2164"/>
      <c r="Q83" s="2164"/>
      <c r="R83" s="2164"/>
      <c r="S83" s="2164"/>
      <c r="T83" s="2164"/>
      <c r="U83" s="2164"/>
      <c r="V83" s="2164"/>
      <c r="W83" s="2164"/>
      <c r="X83" s="2164"/>
      <c r="Y83" s="2164"/>
      <c r="Z83" s="2164"/>
      <c r="AA83" s="2164"/>
      <c r="AB83" s="2164"/>
      <c r="AC83" s="2164"/>
      <c r="AD83" s="2164"/>
      <c r="AE83" s="2164"/>
      <c r="AF83" s="2164"/>
      <c r="AG83" s="2164"/>
      <c r="AH83" s="2165"/>
      <c r="AI83" s="1192"/>
      <c r="AJ83" s="2127" t="s">
        <v>2384</v>
      </c>
      <c r="AK83" s="2128"/>
      <c r="AL83" s="2128"/>
      <c r="AM83" s="2128"/>
      <c r="AN83" s="2128"/>
      <c r="AO83" s="2128"/>
      <c r="AP83" s="2128"/>
      <c r="AQ83" s="2128"/>
      <c r="AR83" s="2128"/>
      <c r="AS83" s="2128"/>
      <c r="AT83" s="2128"/>
      <c r="AU83" s="2128"/>
      <c r="AV83" s="2128"/>
      <c r="AW83" s="2128"/>
      <c r="AX83" s="2128"/>
      <c r="AY83" s="2147" t="s">
        <v>545</v>
      </c>
      <c r="AZ83" s="2147"/>
      <c r="BA83" s="2147"/>
      <c r="BB83" s="2148"/>
      <c r="BC83" s="1192"/>
      <c r="BD83" s="1192"/>
      <c r="BE83" s="1196"/>
      <c r="CK83" s="1190"/>
      <c r="CL83" s="1190"/>
      <c r="CM83" s="1190"/>
      <c r="CN83" s="1190"/>
      <c r="CO83" s="1190"/>
      <c r="CP83" s="1190"/>
    </row>
    <row r="84" spans="1:94" ht="15.75" customHeight="1">
      <c r="A84" s="1192"/>
      <c r="B84" s="2141"/>
      <c r="C84" s="2106"/>
      <c r="D84" s="2106"/>
      <c r="E84" s="2106"/>
      <c r="F84" s="2106"/>
      <c r="G84" s="2106"/>
      <c r="H84" s="2106"/>
      <c r="I84" s="2106" t="s">
        <v>2374</v>
      </c>
      <c r="J84" s="2106"/>
      <c r="K84" s="2106"/>
      <c r="L84" s="2106"/>
      <c r="M84" s="2106"/>
      <c r="N84" s="2106"/>
      <c r="O84" s="2106" t="s">
        <v>2350</v>
      </c>
      <c r="P84" s="2106"/>
      <c r="Q84" s="2106"/>
      <c r="R84" s="2106"/>
      <c r="S84" s="2106"/>
      <c r="T84" s="2106"/>
      <c r="U84" s="2106"/>
      <c r="V84" s="2145" t="s">
        <v>2349</v>
      </c>
      <c r="W84" s="2145"/>
      <c r="X84" s="2145"/>
      <c r="Y84" s="2145"/>
      <c r="Z84" s="2145"/>
      <c r="AA84" s="2145"/>
      <c r="AB84" s="2076" t="s">
        <v>2373</v>
      </c>
      <c r="AC84" s="2076"/>
      <c r="AD84" s="2076"/>
      <c r="AE84" s="2076"/>
      <c r="AF84" s="2076"/>
      <c r="AG84" s="2076"/>
      <c r="AH84" s="2146"/>
      <c r="AI84" s="1192"/>
      <c r="AJ84" s="2130"/>
      <c r="AK84" s="2131"/>
      <c r="AL84" s="2131"/>
      <c r="AM84" s="2131"/>
      <c r="AN84" s="2131"/>
      <c r="AO84" s="2131"/>
      <c r="AP84" s="2131"/>
      <c r="AQ84" s="2131"/>
      <c r="AR84" s="2131"/>
      <c r="AS84" s="2131"/>
      <c r="AT84" s="2131"/>
      <c r="AU84" s="2131"/>
      <c r="AV84" s="2131"/>
      <c r="AW84" s="2131"/>
      <c r="AX84" s="2131"/>
      <c r="AY84" s="2149"/>
      <c r="AZ84" s="2149"/>
      <c r="BA84" s="2149"/>
      <c r="BB84" s="2150"/>
      <c r="BC84" s="1192"/>
      <c r="BD84" s="1192"/>
      <c r="BE84" s="1196"/>
      <c r="CK84" s="1190"/>
      <c r="CL84" s="1190"/>
      <c r="CM84" s="1190"/>
      <c r="CN84" s="1190"/>
      <c r="CO84" s="1190"/>
      <c r="CP84" s="1190"/>
    </row>
    <row r="85" spans="1:94" ht="15.75" customHeight="1">
      <c r="A85" s="1192"/>
      <c r="B85" s="2141"/>
      <c r="C85" s="2106"/>
      <c r="D85" s="2106"/>
      <c r="E85" s="2106"/>
      <c r="F85" s="2106"/>
      <c r="G85" s="2106"/>
      <c r="H85" s="2106"/>
      <c r="I85" s="2106"/>
      <c r="J85" s="2106"/>
      <c r="K85" s="2106"/>
      <c r="L85" s="2106"/>
      <c r="M85" s="2106"/>
      <c r="N85" s="2106"/>
      <c r="O85" s="2106"/>
      <c r="P85" s="2106"/>
      <c r="Q85" s="2106"/>
      <c r="R85" s="2106"/>
      <c r="S85" s="2106"/>
      <c r="T85" s="2106"/>
      <c r="U85" s="2106"/>
      <c r="V85" s="2145"/>
      <c r="W85" s="2145"/>
      <c r="X85" s="2145"/>
      <c r="Y85" s="2145"/>
      <c r="Z85" s="2145"/>
      <c r="AA85" s="2145"/>
      <c r="AB85" s="2076"/>
      <c r="AC85" s="2076"/>
      <c r="AD85" s="2076"/>
      <c r="AE85" s="2076"/>
      <c r="AF85" s="2076"/>
      <c r="AG85" s="2076"/>
      <c r="AH85" s="2146"/>
      <c r="AI85" s="1192"/>
      <c r="AJ85" s="2130"/>
      <c r="AK85" s="2131"/>
      <c r="AL85" s="2131"/>
      <c r="AM85" s="2131"/>
      <c r="AN85" s="2131"/>
      <c r="AO85" s="2131"/>
      <c r="AP85" s="2131"/>
      <c r="AQ85" s="2131"/>
      <c r="AR85" s="2131"/>
      <c r="AS85" s="2131"/>
      <c r="AT85" s="2131"/>
      <c r="AU85" s="2131"/>
      <c r="AV85" s="2131"/>
      <c r="AW85" s="2131"/>
      <c r="AX85" s="2131"/>
      <c r="AY85" s="2149"/>
      <c r="AZ85" s="2149"/>
      <c r="BA85" s="2149"/>
      <c r="BB85" s="2150"/>
      <c r="BC85" s="1192"/>
      <c r="BD85" s="1192"/>
      <c r="BE85" s="1196"/>
      <c r="CK85" s="1190"/>
      <c r="CL85" s="1190"/>
      <c r="CM85" s="1190"/>
      <c r="CN85" s="1190"/>
      <c r="CO85" s="1190"/>
      <c r="CP85" s="1190"/>
    </row>
    <row r="86" spans="1:94" ht="15.75" customHeight="1">
      <c r="A86" s="1192"/>
      <c r="B86" s="2141" t="s">
        <v>2372</v>
      </c>
      <c r="C86" s="2106"/>
      <c r="D86" s="2106"/>
      <c r="E86" s="2106"/>
      <c r="F86" s="2106"/>
      <c r="G86" s="2106"/>
      <c r="H86" s="2106"/>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192"/>
      <c r="AJ86" s="2130"/>
      <c r="AK86" s="2131"/>
      <c r="AL86" s="2131"/>
      <c r="AM86" s="2131"/>
      <c r="AN86" s="2131"/>
      <c r="AO86" s="2131"/>
      <c r="AP86" s="2131"/>
      <c r="AQ86" s="2131"/>
      <c r="AR86" s="2131"/>
      <c r="AS86" s="2131"/>
      <c r="AT86" s="2131"/>
      <c r="AU86" s="2131"/>
      <c r="AV86" s="2131"/>
      <c r="AW86" s="2131"/>
      <c r="AX86" s="2131"/>
      <c r="AY86" s="2149"/>
      <c r="AZ86" s="2149"/>
      <c r="BA86" s="2149"/>
      <c r="BB86" s="2150"/>
      <c r="BC86" s="1192"/>
      <c r="BD86" s="1192"/>
      <c r="BE86" s="1196"/>
      <c r="CK86" s="1190"/>
      <c r="CL86" s="1190"/>
      <c r="CM86" s="1190"/>
      <c r="CN86" s="1190"/>
      <c r="CO86" s="1190"/>
      <c r="CP86" s="1190"/>
    </row>
    <row r="87" spans="1:94" ht="15.75" customHeight="1">
      <c r="A87" s="1192"/>
      <c r="B87" s="2141" t="s">
        <v>2371</v>
      </c>
      <c r="C87" s="2106"/>
      <c r="D87" s="2106"/>
      <c r="E87" s="2106"/>
      <c r="F87" s="2106"/>
      <c r="G87" s="2106"/>
      <c r="H87" s="2106"/>
      <c r="I87" s="2079">
        <v>0</v>
      </c>
      <c r="J87" s="2079"/>
      <c r="K87" s="2079"/>
      <c r="L87" s="2079"/>
      <c r="M87" s="2079"/>
      <c r="N87" s="2079"/>
      <c r="O87" s="2079">
        <v>0</v>
      </c>
      <c r="P87" s="2079"/>
      <c r="Q87" s="2079"/>
      <c r="R87" s="2079"/>
      <c r="S87" s="2079"/>
      <c r="T87" s="2079"/>
      <c r="U87" s="2079"/>
      <c r="V87" s="2079">
        <v>0</v>
      </c>
      <c r="W87" s="2079"/>
      <c r="X87" s="2079"/>
      <c r="Y87" s="2079"/>
      <c r="Z87" s="2079"/>
      <c r="AA87" s="2079"/>
      <c r="AB87" s="2079">
        <v>0</v>
      </c>
      <c r="AC87" s="2079"/>
      <c r="AD87" s="2079"/>
      <c r="AE87" s="2079"/>
      <c r="AF87" s="2079"/>
      <c r="AG87" s="2079"/>
      <c r="AH87" s="2080"/>
      <c r="AI87" s="1192"/>
      <c r="AJ87" s="2046" t="s">
        <v>2378</v>
      </c>
      <c r="AK87" s="2047"/>
      <c r="AL87" s="2047"/>
      <c r="AM87" s="2047"/>
      <c r="AN87" s="2047"/>
      <c r="AO87" s="2047"/>
      <c r="AP87" s="2047"/>
      <c r="AQ87" s="2047"/>
      <c r="AR87" s="2047"/>
      <c r="AS87" s="2047"/>
      <c r="AT87" s="2047"/>
      <c r="AU87" s="2047"/>
      <c r="AV87" s="2047"/>
      <c r="AW87" s="2047"/>
      <c r="AX87" s="2047"/>
      <c r="AY87" s="2047"/>
      <c r="AZ87" s="2047"/>
      <c r="BA87" s="2047"/>
      <c r="BB87" s="2048"/>
      <c r="BC87" s="1192"/>
      <c r="BD87" s="1192"/>
      <c r="BE87" s="1196"/>
      <c r="CK87" s="1190"/>
      <c r="CL87" s="1190"/>
      <c r="CM87" s="1190"/>
      <c r="CN87" s="1190"/>
      <c r="CO87" s="1190"/>
      <c r="CP87" s="1190"/>
    </row>
    <row r="88" spans="1:94" ht="15.75" customHeight="1" thickBot="1">
      <c r="A88" s="1192"/>
      <c r="B88" s="2136" t="s">
        <v>2370</v>
      </c>
      <c r="C88" s="2137"/>
      <c r="D88" s="2137"/>
      <c r="E88" s="2137"/>
      <c r="F88" s="2137"/>
      <c r="G88" s="2137"/>
      <c r="H88" s="2137"/>
      <c r="I88" s="2073">
        <v>0</v>
      </c>
      <c r="J88" s="2073"/>
      <c r="K88" s="2073"/>
      <c r="L88" s="2073"/>
      <c r="M88" s="2073"/>
      <c r="N88" s="2073"/>
      <c r="O88" s="2073">
        <v>0</v>
      </c>
      <c r="P88" s="2073"/>
      <c r="Q88" s="2073"/>
      <c r="R88" s="2073"/>
      <c r="S88" s="2073"/>
      <c r="T88" s="2073"/>
      <c r="U88" s="2073"/>
      <c r="V88" s="2073">
        <v>0</v>
      </c>
      <c r="W88" s="2073"/>
      <c r="X88" s="2073"/>
      <c r="Y88" s="2073"/>
      <c r="Z88" s="2073"/>
      <c r="AA88" s="2073"/>
      <c r="AB88" s="2073">
        <v>0</v>
      </c>
      <c r="AC88" s="2073"/>
      <c r="AD88" s="2073"/>
      <c r="AE88" s="2073"/>
      <c r="AF88" s="2073"/>
      <c r="AG88" s="2073"/>
      <c r="AH88" s="2074"/>
      <c r="AI88" s="1192"/>
      <c r="AJ88" s="2049"/>
      <c r="AK88" s="2050"/>
      <c r="AL88" s="2050"/>
      <c r="AM88" s="2050"/>
      <c r="AN88" s="2050"/>
      <c r="AO88" s="2050"/>
      <c r="AP88" s="2050"/>
      <c r="AQ88" s="2050"/>
      <c r="AR88" s="2050"/>
      <c r="AS88" s="2050"/>
      <c r="AT88" s="2050"/>
      <c r="AU88" s="2050"/>
      <c r="AV88" s="2050"/>
      <c r="AW88" s="2050"/>
      <c r="AX88" s="2050"/>
      <c r="AY88" s="2050"/>
      <c r="AZ88" s="2050"/>
      <c r="BA88" s="2050"/>
      <c r="BB88" s="2051"/>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51"/>
      <c r="G92" s="2152"/>
      <c r="H92" s="2152"/>
      <c r="I92" s="2152"/>
      <c r="J92" s="2152"/>
      <c r="K92" s="2152"/>
      <c r="L92" s="2152"/>
      <c r="M92" s="2152"/>
      <c r="N92" s="2152"/>
      <c r="O92" s="2152"/>
      <c r="P92" s="2152"/>
      <c r="Q92" s="2152"/>
      <c r="R92" s="2152"/>
      <c r="S92" s="2152"/>
      <c r="T92" s="2153"/>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4" t="s">
        <v>2382</v>
      </c>
      <c r="C93" s="2155"/>
      <c r="D93" s="2155"/>
      <c r="E93" s="2155"/>
      <c r="F93" s="2155"/>
      <c r="G93" s="2155"/>
      <c r="H93" s="2155"/>
      <c r="I93" s="2155"/>
      <c r="J93" s="2155"/>
      <c r="K93" s="2155"/>
      <c r="L93" s="2155"/>
      <c r="M93" s="2155"/>
      <c r="N93" s="2155"/>
      <c r="O93" s="2155"/>
      <c r="P93" s="2155"/>
      <c r="Q93" s="2156"/>
      <c r="R93" s="2157" t="str">
        <f>IFERROR(INDEX(BR96:BR98,MATCH(F92,$BQ$96:$BQ$98,0))/SUM($BR$96:$BR$98),"")</f>
        <v/>
      </c>
      <c r="S93" s="2158"/>
      <c r="T93" s="215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60" t="s">
        <v>2381</v>
      </c>
      <c r="C94" s="2161"/>
      <c r="D94" s="2161"/>
      <c r="E94" s="2161"/>
      <c r="F94" s="2161"/>
      <c r="G94" s="2161"/>
      <c r="H94" s="2161"/>
      <c r="I94" s="2161"/>
      <c r="J94" s="2161"/>
      <c r="K94" s="2161"/>
      <c r="L94" s="2161"/>
      <c r="M94" s="2161"/>
      <c r="N94" s="2161"/>
      <c r="O94" s="2161"/>
      <c r="P94" s="2161"/>
      <c r="Q94" s="2162"/>
      <c r="R94" s="2142" t="s">
        <v>2190</v>
      </c>
      <c r="S94" s="2143"/>
      <c r="T94" s="214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3" t="s">
        <v>2380</v>
      </c>
      <c r="C96" s="2164"/>
      <c r="D96" s="2164"/>
      <c r="E96" s="2164"/>
      <c r="F96" s="2164"/>
      <c r="G96" s="2164"/>
      <c r="H96" s="2164"/>
      <c r="I96" s="2164"/>
      <c r="J96" s="2164"/>
      <c r="K96" s="2164"/>
      <c r="L96" s="2164"/>
      <c r="M96" s="2164"/>
      <c r="N96" s="2164"/>
      <c r="O96" s="2164"/>
      <c r="P96" s="2164"/>
      <c r="Q96" s="2164"/>
      <c r="R96" s="2164"/>
      <c r="S96" s="2164"/>
      <c r="T96" s="2164"/>
      <c r="U96" s="2164"/>
      <c r="V96" s="2164"/>
      <c r="W96" s="2164"/>
      <c r="X96" s="2164"/>
      <c r="Y96" s="2164"/>
      <c r="Z96" s="2164"/>
      <c r="AA96" s="2164"/>
      <c r="AB96" s="2164"/>
      <c r="AC96" s="2164"/>
      <c r="AD96" s="2164"/>
      <c r="AE96" s="2164"/>
      <c r="AF96" s="2164"/>
      <c r="AG96" s="2164"/>
      <c r="AH96" s="2165"/>
      <c r="AI96" s="1192"/>
      <c r="AJ96" s="2127" t="s">
        <v>2379</v>
      </c>
      <c r="AK96" s="2128"/>
      <c r="AL96" s="2128"/>
      <c r="AM96" s="2128"/>
      <c r="AN96" s="2128"/>
      <c r="AO96" s="2128"/>
      <c r="AP96" s="2128"/>
      <c r="AQ96" s="2128"/>
      <c r="AR96" s="2128"/>
      <c r="AS96" s="2128"/>
      <c r="AT96" s="2128"/>
      <c r="AU96" s="2128"/>
      <c r="AV96" s="2128"/>
      <c r="AW96" s="2128"/>
      <c r="AX96" s="2128"/>
      <c r="AY96" s="2147" t="s">
        <v>545</v>
      </c>
      <c r="AZ96" s="2147"/>
      <c r="BA96" s="2147"/>
      <c r="BB96" s="2148"/>
      <c r="BC96" s="1192"/>
      <c r="BD96" s="1192"/>
      <c r="BE96" s="1196"/>
      <c r="BQ96" s="1189" t="str">
        <f>Application!M243&amp;IF(TRIM(Application!AA249)&lt;&gt;""," ("&amp;Application!AA249&amp;")","")</f>
        <v>Domus GP LLC (Domus Development, LLC)</v>
      </c>
      <c r="BR96" s="1218">
        <f>Application!AH246</f>
        <v>0</v>
      </c>
      <c r="CM96" s="1190"/>
      <c r="CN96" s="1190"/>
      <c r="CO96" s="1190"/>
      <c r="CP96" s="1190"/>
    </row>
    <row r="97" spans="1:94" ht="15.75" customHeight="1">
      <c r="A97" s="1192"/>
      <c r="B97" s="2141"/>
      <c r="C97" s="2106"/>
      <c r="D97" s="2106"/>
      <c r="E97" s="2106"/>
      <c r="F97" s="2106"/>
      <c r="G97" s="2106"/>
      <c r="H97" s="2106"/>
      <c r="I97" s="2106" t="s">
        <v>2374</v>
      </c>
      <c r="J97" s="2106"/>
      <c r="K97" s="2106"/>
      <c r="L97" s="2106"/>
      <c r="M97" s="2106"/>
      <c r="N97" s="2106"/>
      <c r="O97" s="2106" t="s">
        <v>2350</v>
      </c>
      <c r="P97" s="2106"/>
      <c r="Q97" s="2106"/>
      <c r="R97" s="2106"/>
      <c r="S97" s="2106"/>
      <c r="T97" s="2106"/>
      <c r="U97" s="2106"/>
      <c r="V97" s="2145" t="s">
        <v>2349</v>
      </c>
      <c r="W97" s="2145"/>
      <c r="X97" s="2145"/>
      <c r="Y97" s="2145"/>
      <c r="Z97" s="2145"/>
      <c r="AA97" s="2145"/>
      <c r="AB97" s="2076" t="s">
        <v>2373</v>
      </c>
      <c r="AC97" s="2076"/>
      <c r="AD97" s="2076"/>
      <c r="AE97" s="2076"/>
      <c r="AF97" s="2076"/>
      <c r="AG97" s="2076"/>
      <c r="AH97" s="2146"/>
      <c r="AI97" s="1192"/>
      <c r="AJ97" s="2130"/>
      <c r="AK97" s="2131"/>
      <c r="AL97" s="2131"/>
      <c r="AM97" s="2131"/>
      <c r="AN97" s="2131"/>
      <c r="AO97" s="2131"/>
      <c r="AP97" s="2131"/>
      <c r="AQ97" s="2131"/>
      <c r="AR97" s="2131"/>
      <c r="AS97" s="2131"/>
      <c r="AT97" s="2131"/>
      <c r="AU97" s="2131"/>
      <c r="AV97" s="2131"/>
      <c r="AW97" s="2131"/>
      <c r="AX97" s="2131"/>
      <c r="AY97" s="2149"/>
      <c r="AZ97" s="2149"/>
      <c r="BA97" s="2149"/>
      <c r="BB97" s="2150"/>
      <c r="BC97" s="1192"/>
      <c r="BD97" s="1192"/>
      <c r="BE97" s="1196"/>
      <c r="BQ97" s="1189" t="str">
        <f>Application!M251&amp;IF(TRIM(Application!AA257)&lt;&gt;""," ("&amp;Application!AA257&amp;")","")</f>
        <v>Spectrum GP LLC (Spectrum Affordable Housing Corporation)</v>
      </c>
      <c r="BR97" s="1218">
        <f>Application!AH254</f>
        <v>0</v>
      </c>
      <c r="CM97" s="1190"/>
      <c r="CN97" s="1190"/>
      <c r="CO97" s="1190"/>
      <c r="CP97" s="1190"/>
    </row>
    <row r="98" spans="1:94" ht="15.75" customHeight="1">
      <c r="A98" s="1192"/>
      <c r="B98" s="2141"/>
      <c r="C98" s="2106"/>
      <c r="D98" s="2106"/>
      <c r="E98" s="2106"/>
      <c r="F98" s="2106"/>
      <c r="G98" s="2106"/>
      <c r="H98" s="2106"/>
      <c r="I98" s="2106"/>
      <c r="J98" s="2106"/>
      <c r="K98" s="2106"/>
      <c r="L98" s="2106"/>
      <c r="M98" s="2106"/>
      <c r="N98" s="2106"/>
      <c r="O98" s="2106"/>
      <c r="P98" s="2106"/>
      <c r="Q98" s="2106"/>
      <c r="R98" s="2106"/>
      <c r="S98" s="2106"/>
      <c r="T98" s="2106"/>
      <c r="U98" s="2106"/>
      <c r="V98" s="2145"/>
      <c r="W98" s="2145"/>
      <c r="X98" s="2145"/>
      <c r="Y98" s="2145"/>
      <c r="Z98" s="2145"/>
      <c r="AA98" s="2145"/>
      <c r="AB98" s="2076"/>
      <c r="AC98" s="2076"/>
      <c r="AD98" s="2076"/>
      <c r="AE98" s="2076"/>
      <c r="AF98" s="2076"/>
      <c r="AG98" s="2076"/>
      <c r="AH98" s="2146"/>
      <c r="AI98" s="1192"/>
      <c r="AJ98" s="2130"/>
      <c r="AK98" s="2131"/>
      <c r="AL98" s="2131"/>
      <c r="AM98" s="2131"/>
      <c r="AN98" s="2131"/>
      <c r="AO98" s="2131"/>
      <c r="AP98" s="2131"/>
      <c r="AQ98" s="2131"/>
      <c r="AR98" s="2131"/>
      <c r="AS98" s="2131"/>
      <c r="AT98" s="2131"/>
      <c r="AU98" s="2131"/>
      <c r="AV98" s="2131"/>
      <c r="AW98" s="2131"/>
      <c r="AX98" s="2131"/>
      <c r="AY98" s="2149"/>
      <c r="AZ98" s="2149"/>
      <c r="BA98" s="2149"/>
      <c r="BB98" s="2150"/>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41" t="s">
        <v>2372</v>
      </c>
      <c r="C99" s="2106"/>
      <c r="D99" s="2106"/>
      <c r="E99" s="2106"/>
      <c r="F99" s="2106"/>
      <c r="G99" s="2106"/>
      <c r="H99" s="2106"/>
      <c r="I99" s="2079">
        <v>0</v>
      </c>
      <c r="J99" s="2079"/>
      <c r="K99" s="2079"/>
      <c r="L99" s="2079"/>
      <c r="M99" s="2079"/>
      <c r="N99" s="2079"/>
      <c r="O99" s="2079">
        <v>0</v>
      </c>
      <c r="P99" s="2079"/>
      <c r="Q99" s="2079"/>
      <c r="R99" s="2079"/>
      <c r="S99" s="2079"/>
      <c r="T99" s="2079"/>
      <c r="U99" s="2079"/>
      <c r="V99" s="2079">
        <v>0</v>
      </c>
      <c r="W99" s="2079"/>
      <c r="X99" s="2079"/>
      <c r="Y99" s="2079"/>
      <c r="Z99" s="2079"/>
      <c r="AA99" s="2079"/>
      <c r="AB99" s="2079">
        <v>0</v>
      </c>
      <c r="AC99" s="2079"/>
      <c r="AD99" s="2079"/>
      <c r="AE99" s="2079"/>
      <c r="AF99" s="2079"/>
      <c r="AG99" s="2079"/>
      <c r="AH99" s="2080"/>
      <c r="AI99" s="1192"/>
      <c r="AJ99" s="2130"/>
      <c r="AK99" s="2131"/>
      <c r="AL99" s="2131"/>
      <c r="AM99" s="2131"/>
      <c r="AN99" s="2131"/>
      <c r="AO99" s="2131"/>
      <c r="AP99" s="2131"/>
      <c r="AQ99" s="2131"/>
      <c r="AR99" s="2131"/>
      <c r="AS99" s="2131"/>
      <c r="AT99" s="2131"/>
      <c r="AU99" s="2131"/>
      <c r="AV99" s="2131"/>
      <c r="AW99" s="2131"/>
      <c r="AX99" s="2131"/>
      <c r="AY99" s="2149"/>
      <c r="AZ99" s="2149"/>
      <c r="BA99" s="2149"/>
      <c r="BB99" s="2150"/>
      <c r="BC99" s="1192"/>
      <c r="BD99" s="1192"/>
      <c r="BE99" s="1196"/>
      <c r="CM99" s="1190"/>
      <c r="CN99" s="1190"/>
      <c r="CO99" s="1190"/>
      <c r="CP99" s="1190"/>
    </row>
    <row r="100" spans="1:94" ht="15.75" customHeight="1">
      <c r="A100" s="1192"/>
      <c r="B100" s="2141" t="s">
        <v>2371</v>
      </c>
      <c r="C100" s="2106"/>
      <c r="D100" s="2106"/>
      <c r="E100" s="2106"/>
      <c r="F100" s="2106"/>
      <c r="G100" s="2106"/>
      <c r="H100" s="2106"/>
      <c r="I100" s="2079">
        <v>0</v>
      </c>
      <c r="J100" s="2079"/>
      <c r="K100" s="2079"/>
      <c r="L100" s="2079"/>
      <c r="M100" s="2079"/>
      <c r="N100" s="2079"/>
      <c r="O100" s="2079">
        <v>0</v>
      </c>
      <c r="P100" s="2079"/>
      <c r="Q100" s="2079"/>
      <c r="R100" s="2079"/>
      <c r="S100" s="2079"/>
      <c r="T100" s="2079"/>
      <c r="U100" s="2079"/>
      <c r="V100" s="2079">
        <v>0</v>
      </c>
      <c r="W100" s="2079"/>
      <c r="X100" s="2079"/>
      <c r="Y100" s="2079"/>
      <c r="Z100" s="2079"/>
      <c r="AA100" s="2079"/>
      <c r="AB100" s="2079">
        <v>0</v>
      </c>
      <c r="AC100" s="2079"/>
      <c r="AD100" s="2079"/>
      <c r="AE100" s="2079"/>
      <c r="AF100" s="2079"/>
      <c r="AG100" s="2079"/>
      <c r="AH100" s="2080"/>
      <c r="AI100" s="1192"/>
      <c r="AJ100" s="2046" t="s">
        <v>2378</v>
      </c>
      <c r="AK100" s="2047"/>
      <c r="AL100" s="2047"/>
      <c r="AM100" s="2047"/>
      <c r="AN100" s="2047"/>
      <c r="AO100" s="2047"/>
      <c r="AP100" s="2047"/>
      <c r="AQ100" s="2047"/>
      <c r="AR100" s="2047"/>
      <c r="AS100" s="2047"/>
      <c r="AT100" s="2047"/>
      <c r="AU100" s="2047"/>
      <c r="AV100" s="2047"/>
      <c r="AW100" s="2047"/>
      <c r="AX100" s="2047"/>
      <c r="AY100" s="2047"/>
      <c r="AZ100" s="2047"/>
      <c r="BA100" s="2047"/>
      <c r="BB100" s="2048"/>
      <c r="BC100" s="1192"/>
      <c r="BD100" s="1192"/>
      <c r="BE100" s="1196"/>
      <c r="CM100" s="1190"/>
      <c r="CN100" s="1190"/>
      <c r="CO100" s="1190"/>
      <c r="CP100" s="1190"/>
    </row>
    <row r="101" spans="1:94" ht="15.75" customHeight="1" thickBot="1">
      <c r="A101" s="1192"/>
      <c r="B101" s="2136" t="s">
        <v>2370</v>
      </c>
      <c r="C101" s="2137"/>
      <c r="D101" s="2137"/>
      <c r="E101" s="2137"/>
      <c r="F101" s="2137"/>
      <c r="G101" s="2137"/>
      <c r="H101" s="2137"/>
      <c r="I101" s="2073">
        <v>0</v>
      </c>
      <c r="J101" s="2073"/>
      <c r="K101" s="2073"/>
      <c r="L101" s="2073"/>
      <c r="M101" s="2073"/>
      <c r="N101" s="2073"/>
      <c r="O101" s="2073">
        <v>0</v>
      </c>
      <c r="P101" s="2073"/>
      <c r="Q101" s="2073"/>
      <c r="R101" s="2073"/>
      <c r="S101" s="2073"/>
      <c r="T101" s="2073"/>
      <c r="U101" s="2073"/>
      <c r="V101" s="2073">
        <v>0</v>
      </c>
      <c r="W101" s="2073"/>
      <c r="X101" s="2073"/>
      <c r="Y101" s="2073"/>
      <c r="Z101" s="2073"/>
      <c r="AA101" s="2073"/>
      <c r="AB101" s="2073">
        <v>0</v>
      </c>
      <c r="AC101" s="2073"/>
      <c r="AD101" s="2073"/>
      <c r="AE101" s="2073"/>
      <c r="AF101" s="2073"/>
      <c r="AG101" s="2073"/>
      <c r="AH101" s="2074"/>
      <c r="AI101" s="1192"/>
      <c r="AJ101" s="2049"/>
      <c r="AK101" s="2050"/>
      <c r="AL101" s="2050"/>
      <c r="AM101" s="2050"/>
      <c r="AN101" s="2050"/>
      <c r="AO101" s="2050"/>
      <c r="AP101" s="2050"/>
      <c r="AQ101" s="2050"/>
      <c r="AR101" s="2050"/>
      <c r="AS101" s="2050"/>
      <c r="AT101" s="2050"/>
      <c r="AU101" s="2050"/>
      <c r="AV101" s="2050"/>
      <c r="AW101" s="2050"/>
      <c r="AX101" s="2050"/>
      <c r="AY101" s="2050"/>
      <c r="AZ101" s="2050"/>
      <c r="BA101" s="2050"/>
      <c r="BB101" s="2051"/>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42" t="str">
        <f>IFERROR(INDEX(BR96:BR98,MATCH(F104,$BQ$96:$BQ$98,0))/SUM($BR$96:$BR$98),"")</f>
        <v/>
      </c>
      <c r="P105" s="2143"/>
      <c r="Q105" s="2143"/>
      <c r="R105" s="214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9" t="s">
        <v>2375</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9"/>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41"/>
      <c r="C108" s="2106"/>
      <c r="D108" s="2106"/>
      <c r="E108" s="2106"/>
      <c r="F108" s="2106"/>
      <c r="G108" s="2106"/>
      <c r="H108" s="2106"/>
      <c r="I108" s="2106" t="s">
        <v>2374</v>
      </c>
      <c r="J108" s="2106"/>
      <c r="K108" s="2106"/>
      <c r="L108" s="2106"/>
      <c r="M108" s="2106"/>
      <c r="N108" s="2106"/>
      <c r="O108" s="2106" t="s">
        <v>2350</v>
      </c>
      <c r="P108" s="2106"/>
      <c r="Q108" s="2106"/>
      <c r="R108" s="2106"/>
      <c r="S108" s="2106"/>
      <c r="T108" s="2106"/>
      <c r="U108" s="2106"/>
      <c r="V108" s="2145" t="s">
        <v>2349</v>
      </c>
      <c r="W108" s="2145"/>
      <c r="X108" s="2145"/>
      <c r="Y108" s="2145"/>
      <c r="Z108" s="2145"/>
      <c r="AA108" s="2145"/>
      <c r="AB108" s="2076" t="s">
        <v>2373</v>
      </c>
      <c r="AC108" s="2076"/>
      <c r="AD108" s="2076"/>
      <c r="AE108" s="2076"/>
      <c r="AF108" s="2076"/>
      <c r="AG108" s="2076"/>
      <c r="AH108" s="2146"/>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41"/>
      <c r="C109" s="2106"/>
      <c r="D109" s="2106"/>
      <c r="E109" s="2106"/>
      <c r="F109" s="2106"/>
      <c r="G109" s="2106"/>
      <c r="H109" s="2106"/>
      <c r="I109" s="2106"/>
      <c r="J109" s="2106"/>
      <c r="K109" s="2106"/>
      <c r="L109" s="2106"/>
      <c r="M109" s="2106"/>
      <c r="N109" s="2106"/>
      <c r="O109" s="2106"/>
      <c r="P109" s="2106"/>
      <c r="Q109" s="2106"/>
      <c r="R109" s="2106"/>
      <c r="S109" s="2106"/>
      <c r="T109" s="2106"/>
      <c r="U109" s="2106"/>
      <c r="V109" s="2145"/>
      <c r="W109" s="2145"/>
      <c r="X109" s="2145"/>
      <c r="Y109" s="2145"/>
      <c r="Z109" s="2145"/>
      <c r="AA109" s="2145"/>
      <c r="AB109" s="2076"/>
      <c r="AC109" s="2076"/>
      <c r="AD109" s="2076"/>
      <c r="AE109" s="2076"/>
      <c r="AF109" s="2076"/>
      <c r="AG109" s="2076"/>
      <c r="AH109" s="2146"/>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41" t="s">
        <v>2372</v>
      </c>
      <c r="C110" s="2106"/>
      <c r="D110" s="2106"/>
      <c r="E110" s="2106"/>
      <c r="F110" s="2106"/>
      <c r="G110" s="2106"/>
      <c r="H110" s="2106"/>
      <c r="I110" s="2079">
        <v>0</v>
      </c>
      <c r="J110" s="2079"/>
      <c r="K110" s="2079"/>
      <c r="L110" s="2079"/>
      <c r="M110" s="2079"/>
      <c r="N110" s="2079"/>
      <c r="O110" s="2079">
        <v>0</v>
      </c>
      <c r="P110" s="2079"/>
      <c r="Q110" s="2079"/>
      <c r="R110" s="2079"/>
      <c r="S110" s="2079"/>
      <c r="T110" s="2079"/>
      <c r="U110" s="2079"/>
      <c r="V110" s="2079">
        <v>0</v>
      </c>
      <c r="W110" s="2079"/>
      <c r="X110" s="2079"/>
      <c r="Y110" s="2079"/>
      <c r="Z110" s="2079"/>
      <c r="AA110" s="2079"/>
      <c r="AB110" s="2079">
        <v>0</v>
      </c>
      <c r="AC110" s="2079"/>
      <c r="AD110" s="2079"/>
      <c r="AE110" s="2079"/>
      <c r="AF110" s="2079"/>
      <c r="AG110" s="2079"/>
      <c r="AH110" s="2080"/>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41" t="s">
        <v>2371</v>
      </c>
      <c r="C111" s="2106"/>
      <c r="D111" s="2106"/>
      <c r="E111" s="2106"/>
      <c r="F111" s="2106"/>
      <c r="G111" s="2106"/>
      <c r="H111" s="2106"/>
      <c r="I111" s="2079">
        <v>0</v>
      </c>
      <c r="J111" s="2079"/>
      <c r="K111" s="2079"/>
      <c r="L111" s="2079"/>
      <c r="M111" s="2079"/>
      <c r="N111" s="2079"/>
      <c r="O111" s="2079">
        <v>0</v>
      </c>
      <c r="P111" s="2079"/>
      <c r="Q111" s="2079"/>
      <c r="R111" s="2079"/>
      <c r="S111" s="2079"/>
      <c r="T111" s="2079"/>
      <c r="U111" s="2079"/>
      <c r="V111" s="2079">
        <v>0</v>
      </c>
      <c r="W111" s="2079"/>
      <c r="X111" s="2079"/>
      <c r="Y111" s="2079"/>
      <c r="Z111" s="2079"/>
      <c r="AA111" s="2079"/>
      <c r="AB111" s="2079">
        <v>0</v>
      </c>
      <c r="AC111" s="2079"/>
      <c r="AD111" s="2079"/>
      <c r="AE111" s="2079"/>
      <c r="AF111" s="2079"/>
      <c r="AG111" s="2079"/>
      <c r="AH111" s="2080"/>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6" t="s">
        <v>2370</v>
      </c>
      <c r="C112" s="2137"/>
      <c r="D112" s="2137"/>
      <c r="E112" s="2137"/>
      <c r="F112" s="2137"/>
      <c r="G112" s="2137"/>
      <c r="H112" s="2137"/>
      <c r="I112" s="2073">
        <v>0</v>
      </c>
      <c r="J112" s="2073"/>
      <c r="K112" s="2073"/>
      <c r="L112" s="2073"/>
      <c r="M112" s="2073"/>
      <c r="N112" s="2073"/>
      <c r="O112" s="2073">
        <v>0</v>
      </c>
      <c r="P112" s="2073"/>
      <c r="Q112" s="2073"/>
      <c r="R112" s="2073"/>
      <c r="S112" s="2073"/>
      <c r="T112" s="2073"/>
      <c r="U112" s="2073"/>
      <c r="V112" s="2073">
        <v>0</v>
      </c>
      <c r="W112" s="2073"/>
      <c r="X112" s="2073"/>
      <c r="Y112" s="2073"/>
      <c r="Z112" s="2073"/>
      <c r="AA112" s="2073"/>
      <c r="AB112" s="2073">
        <v>0</v>
      </c>
      <c r="AC112" s="2073"/>
      <c r="AD112" s="2073"/>
      <c r="AE112" s="2073"/>
      <c r="AF112" s="2073"/>
      <c r="AG112" s="2073"/>
      <c r="AH112" s="2074"/>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8"/>
      <c r="G115" s="2139"/>
      <c r="H115" s="2139"/>
      <c r="I115" s="2139"/>
      <c r="J115" s="2139"/>
      <c r="K115" s="2139"/>
      <c r="L115" s="2139"/>
      <c r="M115" s="2139"/>
      <c r="N115" s="2139"/>
      <c r="O115" s="2139"/>
      <c r="P115" s="2139"/>
      <c r="Q115" s="2139"/>
      <c r="R115" s="2140"/>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1" t="s">
        <v>2368</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9" t="s">
        <v>2368</v>
      </c>
      <c r="C121" s="2120"/>
      <c r="D121" s="2120"/>
      <c r="E121" s="2120"/>
      <c r="F121" s="2120"/>
      <c r="G121" s="2120"/>
      <c r="H121" s="2120"/>
      <c r="I121" s="2120"/>
      <c r="J121" s="2120"/>
      <c r="K121" s="2120"/>
      <c r="L121" s="2120"/>
      <c r="M121" s="2120"/>
      <c r="N121" s="2120"/>
      <c r="O121" s="2120"/>
      <c r="P121" s="2120"/>
      <c r="Q121" s="2120"/>
      <c r="R121" s="2120"/>
      <c r="S121" s="2120"/>
      <c r="T121" s="2120"/>
      <c r="U121" s="2123" t="s">
        <v>545</v>
      </c>
      <c r="V121" s="2123"/>
      <c r="W121" s="2123"/>
      <c r="X121" s="2124"/>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7" t="s">
        <v>2366</v>
      </c>
      <c r="Y125" s="2128"/>
      <c r="Z125" s="2128"/>
      <c r="AA125" s="2128"/>
      <c r="AB125" s="2128"/>
      <c r="AC125" s="2128"/>
      <c r="AD125" s="2128"/>
      <c r="AE125" s="2128"/>
      <c r="AF125" s="2128"/>
      <c r="AG125" s="2128"/>
      <c r="AH125" s="2128"/>
      <c r="AI125" s="2128"/>
      <c r="AJ125" s="2128"/>
      <c r="AK125" s="2128"/>
      <c r="AL125" s="2128"/>
      <c r="AM125" s="2128"/>
      <c r="AN125" s="2128"/>
      <c r="AO125" s="2128"/>
      <c r="AP125" s="2128"/>
      <c r="AQ125" s="2128"/>
      <c r="AR125" s="2128"/>
      <c r="AS125" s="2128"/>
      <c r="AT125" s="2128"/>
      <c r="AU125" s="2128"/>
      <c r="AV125" s="2128"/>
      <c r="AW125" s="2128"/>
      <c r="AX125" s="2128"/>
      <c r="AY125" s="2128"/>
      <c r="AZ125" s="2128"/>
      <c r="BA125" s="2128"/>
      <c r="BB125" s="2128"/>
      <c r="BC125" s="2128"/>
      <c r="BD125" s="2129"/>
      <c r="BE125" s="1196"/>
    </row>
    <row r="126" spans="1:57" ht="15.75" customHeight="1">
      <c r="A126" s="1192"/>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130"/>
      <c r="Y126" s="2131"/>
      <c r="Z126" s="2131"/>
      <c r="AA126" s="2131"/>
      <c r="AB126" s="2131"/>
      <c r="AC126" s="2131"/>
      <c r="AD126" s="2131"/>
      <c r="AE126" s="2131"/>
      <c r="AF126" s="2131"/>
      <c r="AG126" s="2131"/>
      <c r="AH126" s="2131"/>
      <c r="AI126" s="2131"/>
      <c r="AJ126" s="2131"/>
      <c r="AK126" s="2131"/>
      <c r="AL126" s="2131"/>
      <c r="AM126" s="2131"/>
      <c r="AN126" s="2131"/>
      <c r="AO126" s="2131"/>
      <c r="AP126" s="2131"/>
      <c r="AQ126" s="2131"/>
      <c r="AR126" s="2131"/>
      <c r="AS126" s="2131"/>
      <c r="AT126" s="2131"/>
      <c r="AU126" s="2131"/>
      <c r="AV126" s="2131"/>
      <c r="AW126" s="2131"/>
      <c r="AX126" s="2131"/>
      <c r="AY126" s="2131"/>
      <c r="AZ126" s="2131"/>
      <c r="BA126" s="2131"/>
      <c r="BB126" s="2131"/>
      <c r="BC126" s="2131"/>
      <c r="BD126" s="2132"/>
      <c r="BE126" s="1196"/>
    </row>
    <row r="127" spans="1:57" ht="15.75" customHeight="1">
      <c r="A127" s="1192"/>
      <c r="B127" s="2043"/>
      <c r="C127" s="2044"/>
      <c r="D127" s="2044"/>
      <c r="E127" s="2044"/>
      <c r="F127" s="2044"/>
      <c r="G127" s="2044"/>
      <c r="H127" s="2044"/>
      <c r="I127" s="2106" t="s">
        <v>2365</v>
      </c>
      <c r="J127" s="2106"/>
      <c r="K127" s="2106"/>
      <c r="L127" s="2106"/>
      <c r="M127" s="2106"/>
      <c r="N127" s="2106"/>
      <c r="O127" s="2107" t="s">
        <v>2364</v>
      </c>
      <c r="P127" s="2107"/>
      <c r="Q127" s="2107"/>
      <c r="R127" s="2107"/>
      <c r="S127" s="2107"/>
      <c r="T127" s="2107"/>
      <c r="U127" s="2108"/>
      <c r="V127" s="1192"/>
      <c r="W127" s="1192"/>
      <c r="X127" s="2046" t="s">
        <v>2334</v>
      </c>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196"/>
    </row>
    <row r="128" spans="1:57" ht="15.75" customHeight="1">
      <c r="A128" s="1192"/>
      <c r="B128" s="2077" t="s">
        <v>2348</v>
      </c>
      <c r="C128" s="2078"/>
      <c r="D128" s="2078"/>
      <c r="E128" s="2078"/>
      <c r="F128" s="2078"/>
      <c r="G128" s="2078"/>
      <c r="H128" s="2078"/>
      <c r="I128" s="2079">
        <v>0</v>
      </c>
      <c r="J128" s="2079"/>
      <c r="K128" s="2079"/>
      <c r="L128" s="2079"/>
      <c r="M128" s="2079"/>
      <c r="N128" s="2079"/>
      <c r="O128" s="2079">
        <v>0</v>
      </c>
      <c r="P128" s="2079"/>
      <c r="Q128" s="2079"/>
      <c r="R128" s="2079"/>
      <c r="S128" s="2079"/>
      <c r="T128" s="2079"/>
      <c r="U128" s="2080"/>
      <c r="V128" s="1192"/>
      <c r="W128" s="1192"/>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196"/>
    </row>
    <row r="129" spans="1:57" ht="15.75" customHeight="1" thickBot="1">
      <c r="A129" s="1192"/>
      <c r="B129" s="2071" t="s">
        <v>2347</v>
      </c>
      <c r="C129" s="2072"/>
      <c r="D129" s="2072"/>
      <c r="E129" s="2072"/>
      <c r="F129" s="2072"/>
      <c r="G129" s="2072"/>
      <c r="H129" s="2072"/>
      <c r="I129" s="2073">
        <v>0</v>
      </c>
      <c r="J129" s="2073"/>
      <c r="K129" s="2073"/>
      <c r="L129" s="2073"/>
      <c r="M129" s="2073"/>
      <c r="N129" s="2073"/>
      <c r="O129" s="2109"/>
      <c r="P129" s="2109"/>
      <c r="Q129" s="2109"/>
      <c r="R129" s="2109"/>
      <c r="S129" s="2109"/>
      <c r="T129" s="2109"/>
      <c r="U129" s="2110"/>
      <c r="V129" s="1192"/>
      <c r="W129" s="1192"/>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196"/>
    </row>
    <row r="133" spans="1:57" ht="15.75" customHeight="1">
      <c r="A133" s="1192"/>
      <c r="B133" s="2103" t="s">
        <v>2362</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92"/>
      <c r="W133" s="1192"/>
      <c r="X133" s="2046"/>
      <c r="Y133" s="2047"/>
      <c r="Z133" s="2047"/>
      <c r="AA133" s="2047"/>
      <c r="AB133" s="2047"/>
      <c r="AC133" s="2047"/>
      <c r="AD133" s="2047"/>
      <c r="AE133" s="2047"/>
      <c r="AF133" s="2047"/>
      <c r="AG133" s="2047"/>
      <c r="AH133" s="2047"/>
      <c r="AI133" s="2047"/>
      <c r="AJ133" s="2047"/>
      <c r="AK133" s="2047"/>
      <c r="AL133" s="2047"/>
      <c r="AM133" s="2047"/>
      <c r="AN133" s="2047"/>
      <c r="AO133" s="2047"/>
      <c r="AP133" s="2047"/>
      <c r="AQ133" s="2047"/>
      <c r="AR133" s="2047"/>
      <c r="AS133" s="2047"/>
      <c r="AT133" s="2047"/>
      <c r="AU133" s="2047"/>
      <c r="AV133" s="2047"/>
      <c r="AW133" s="2047"/>
      <c r="AX133" s="2047"/>
      <c r="AY133" s="2047"/>
      <c r="AZ133" s="2047"/>
      <c r="BA133" s="2047"/>
      <c r="BB133" s="2047"/>
      <c r="BC133" s="2047"/>
      <c r="BD133" s="2048"/>
      <c r="BE133" s="1196"/>
    </row>
    <row r="134" spans="1:57" ht="15.75" customHeight="1">
      <c r="A134" s="1192"/>
      <c r="B134" s="2043"/>
      <c r="C134" s="2044"/>
      <c r="D134" s="2044"/>
      <c r="E134" s="2044"/>
      <c r="F134" s="2044"/>
      <c r="G134" s="2044"/>
      <c r="H134" s="2044"/>
      <c r="I134" s="2081" t="s">
        <v>2350</v>
      </c>
      <c r="J134" s="2081"/>
      <c r="K134" s="2081"/>
      <c r="L134" s="2081"/>
      <c r="M134" s="2081"/>
      <c r="N134" s="2081"/>
      <c r="O134" s="2081"/>
      <c r="P134" s="2081" t="s">
        <v>2349</v>
      </c>
      <c r="Q134" s="2081"/>
      <c r="R134" s="2081"/>
      <c r="S134" s="2081"/>
      <c r="T134" s="2081"/>
      <c r="U134" s="2082"/>
      <c r="V134" s="1192"/>
      <c r="W134" s="1192"/>
      <c r="X134" s="2046"/>
      <c r="Y134" s="2047"/>
      <c r="Z134" s="2047"/>
      <c r="AA134" s="2047"/>
      <c r="AB134" s="2047"/>
      <c r="AC134" s="2047"/>
      <c r="AD134" s="2047"/>
      <c r="AE134" s="2047"/>
      <c r="AF134" s="2047"/>
      <c r="AG134" s="2047"/>
      <c r="AH134" s="2047"/>
      <c r="AI134" s="2047"/>
      <c r="AJ134" s="2047"/>
      <c r="AK134" s="2047"/>
      <c r="AL134" s="2047"/>
      <c r="AM134" s="2047"/>
      <c r="AN134" s="2047"/>
      <c r="AO134" s="2047"/>
      <c r="AP134" s="2047"/>
      <c r="AQ134" s="2047"/>
      <c r="AR134" s="2047"/>
      <c r="AS134" s="2047"/>
      <c r="AT134" s="2047"/>
      <c r="AU134" s="2047"/>
      <c r="AV134" s="2047"/>
      <c r="AW134" s="2047"/>
      <c r="AX134" s="2047"/>
      <c r="AY134" s="2047"/>
      <c r="AZ134" s="2047"/>
      <c r="BA134" s="2047"/>
      <c r="BB134" s="2047"/>
      <c r="BC134" s="2047"/>
      <c r="BD134" s="2048"/>
      <c r="BE134" s="1196"/>
    </row>
    <row r="135" spans="1:57" ht="15.75" customHeight="1">
      <c r="A135" s="1192"/>
      <c r="B135" s="2043"/>
      <c r="C135" s="2044"/>
      <c r="D135" s="2044"/>
      <c r="E135" s="2044"/>
      <c r="F135" s="2044"/>
      <c r="G135" s="2044"/>
      <c r="H135" s="2044"/>
      <c r="I135" s="2081"/>
      <c r="J135" s="2081"/>
      <c r="K135" s="2081"/>
      <c r="L135" s="2081"/>
      <c r="M135" s="2081"/>
      <c r="N135" s="2081"/>
      <c r="O135" s="2081"/>
      <c r="P135" s="2081"/>
      <c r="Q135" s="2081"/>
      <c r="R135" s="2081"/>
      <c r="S135" s="2081"/>
      <c r="T135" s="2081"/>
      <c r="U135" s="2082"/>
      <c r="V135" s="1192"/>
      <c r="W135" s="1192"/>
      <c r="X135" s="2046"/>
      <c r="Y135" s="2047"/>
      <c r="Z135" s="2047"/>
      <c r="AA135" s="2047"/>
      <c r="AB135" s="2047"/>
      <c r="AC135" s="2047"/>
      <c r="AD135" s="2047"/>
      <c r="AE135" s="2047"/>
      <c r="AF135" s="2047"/>
      <c r="AG135" s="2047"/>
      <c r="AH135" s="2047"/>
      <c r="AI135" s="2047"/>
      <c r="AJ135" s="2047"/>
      <c r="AK135" s="2047"/>
      <c r="AL135" s="2047"/>
      <c r="AM135" s="2047"/>
      <c r="AN135" s="2047"/>
      <c r="AO135" s="2047"/>
      <c r="AP135" s="2047"/>
      <c r="AQ135" s="2047"/>
      <c r="AR135" s="2047"/>
      <c r="AS135" s="2047"/>
      <c r="AT135" s="2047"/>
      <c r="AU135" s="2047"/>
      <c r="AV135" s="2047"/>
      <c r="AW135" s="2047"/>
      <c r="AX135" s="2047"/>
      <c r="AY135" s="2047"/>
      <c r="AZ135" s="2047"/>
      <c r="BA135" s="2047"/>
      <c r="BB135" s="2047"/>
      <c r="BC135" s="2047"/>
      <c r="BD135" s="2048"/>
      <c r="BE135" s="1196"/>
    </row>
    <row r="136" spans="1:57" ht="15.75" customHeight="1">
      <c r="A136" s="1192"/>
      <c r="B136" s="2077" t="s">
        <v>2348</v>
      </c>
      <c r="C136" s="2078"/>
      <c r="D136" s="2078"/>
      <c r="E136" s="2078"/>
      <c r="F136" s="2078"/>
      <c r="G136" s="2078"/>
      <c r="H136" s="2078"/>
      <c r="I136" s="2079">
        <v>0</v>
      </c>
      <c r="J136" s="2079"/>
      <c r="K136" s="2079"/>
      <c r="L136" s="2079"/>
      <c r="M136" s="2079"/>
      <c r="N136" s="2079"/>
      <c r="O136" s="2079"/>
      <c r="P136" s="2079">
        <v>0</v>
      </c>
      <c r="Q136" s="2079"/>
      <c r="R136" s="2079"/>
      <c r="S136" s="2079"/>
      <c r="T136" s="2079"/>
      <c r="U136" s="2080"/>
      <c r="V136" s="1192"/>
      <c r="W136" s="1192"/>
      <c r="X136" s="2046"/>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2047"/>
      <c r="BD136" s="2048"/>
      <c r="BE136" s="1196"/>
    </row>
    <row r="137" spans="1:57" ht="15.75" customHeight="1" thickBot="1">
      <c r="A137" s="1192"/>
      <c r="B137" s="2071" t="s">
        <v>2347</v>
      </c>
      <c r="C137" s="2072"/>
      <c r="D137" s="2072"/>
      <c r="E137" s="2072"/>
      <c r="F137" s="2072"/>
      <c r="G137" s="2072"/>
      <c r="H137" s="2072"/>
      <c r="I137" s="2073">
        <v>0</v>
      </c>
      <c r="J137" s="2073"/>
      <c r="K137" s="2073"/>
      <c r="L137" s="2073"/>
      <c r="M137" s="2073"/>
      <c r="N137" s="2073"/>
      <c r="O137" s="2073"/>
      <c r="P137" s="2073">
        <v>0</v>
      </c>
      <c r="Q137" s="2073"/>
      <c r="R137" s="2073"/>
      <c r="S137" s="2073"/>
      <c r="T137" s="2073"/>
      <c r="U137" s="2074"/>
      <c r="V137" s="1192"/>
      <c r="W137" s="1192"/>
      <c r="X137" s="2049"/>
      <c r="Y137" s="2050"/>
      <c r="Z137" s="2050"/>
      <c r="AA137" s="2050"/>
      <c r="AB137" s="2050"/>
      <c r="AC137" s="2050"/>
      <c r="AD137" s="2050"/>
      <c r="AE137" s="2050"/>
      <c r="AF137" s="2050"/>
      <c r="AG137" s="2050"/>
      <c r="AH137" s="2050"/>
      <c r="AI137" s="2050"/>
      <c r="AJ137" s="2050"/>
      <c r="AK137" s="2050"/>
      <c r="AL137" s="2050"/>
      <c r="AM137" s="2050"/>
      <c r="AN137" s="2050"/>
      <c r="AO137" s="2050"/>
      <c r="AP137" s="2050"/>
      <c r="AQ137" s="2050"/>
      <c r="AR137" s="2050"/>
      <c r="AS137" s="2050"/>
      <c r="AT137" s="2050"/>
      <c r="AU137" s="2050"/>
      <c r="AV137" s="2050"/>
      <c r="AW137" s="2050"/>
      <c r="AX137" s="2050"/>
      <c r="AY137" s="2050"/>
      <c r="AZ137" s="2050"/>
      <c r="BA137" s="2050"/>
      <c r="BB137" s="2050"/>
      <c r="BC137" s="2050"/>
      <c r="BD137" s="2051"/>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8" t="s">
        <v>2361</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6" t="s">
        <v>545</v>
      </c>
      <c r="AI139" s="2086"/>
      <c r="AJ139" s="2086"/>
      <c r="AK139" s="2086"/>
      <c r="AL139" s="2086"/>
      <c r="AM139" s="2086"/>
      <c r="AN139" s="2086"/>
      <c r="AO139" s="2086"/>
      <c r="AP139" s="2086"/>
      <c r="AQ139" s="2086"/>
      <c r="AR139" s="2086"/>
      <c r="AS139" s="2086"/>
      <c r="AT139" s="2086"/>
      <c r="AU139" s="2086"/>
      <c r="AV139" s="2086"/>
      <c r="AW139" s="2086"/>
      <c r="AX139" s="2087"/>
      <c r="AY139" s="1192"/>
      <c r="AZ139" s="1192"/>
      <c r="BA139" s="1192"/>
      <c r="BB139" s="1192"/>
      <c r="BC139" s="1192"/>
      <c r="BD139" s="1192"/>
      <c r="BE139" s="1196"/>
    </row>
    <row r="140" spans="1:57" ht="15.75" customHeight="1" thickBot="1">
      <c r="A140" s="1192"/>
      <c r="B140" s="2083" t="s">
        <v>2360</v>
      </c>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c r="AA140" s="2084"/>
      <c r="AB140" s="2084"/>
      <c r="AC140" s="2084"/>
      <c r="AD140" s="2084"/>
      <c r="AE140" s="2084"/>
      <c r="AF140" s="2084"/>
      <c r="AG140" s="2085"/>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083" t="s">
        <v>2359</v>
      </c>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c r="AA141" s="2084"/>
      <c r="AB141" s="2084"/>
      <c r="AC141" s="2084"/>
      <c r="AD141" s="2084"/>
      <c r="AE141" s="2084"/>
      <c r="AF141" s="2084"/>
      <c r="AG141" s="2085"/>
      <c r="AH141" s="2086" t="s">
        <v>545</v>
      </c>
      <c r="AI141" s="2086"/>
      <c r="AJ141" s="2086"/>
      <c r="AK141" s="2086"/>
      <c r="AL141" s="2086"/>
      <c r="AM141" s="2086"/>
      <c r="AN141" s="2086"/>
      <c r="AO141" s="2086"/>
      <c r="AP141" s="2086"/>
      <c r="AQ141" s="2086"/>
      <c r="AR141" s="2086"/>
      <c r="AS141" s="2086"/>
      <c r="AT141" s="2086"/>
      <c r="AU141" s="2086"/>
      <c r="AV141" s="2086"/>
      <c r="AW141" s="2086"/>
      <c r="AX141" s="2087"/>
      <c r="AY141" s="1192"/>
      <c r="AZ141" s="1192"/>
      <c r="BA141" s="1192"/>
      <c r="BB141" s="1192"/>
      <c r="BC141" s="1192"/>
      <c r="BD141" s="1192"/>
      <c r="BE141" s="1196"/>
    </row>
    <row r="142" spans="1:57" ht="15.75" customHeight="1">
      <c r="A142" s="1192"/>
      <c r="B142" s="2088" t="s">
        <v>2358</v>
      </c>
      <c r="C142" s="2089"/>
      <c r="D142" s="2089"/>
      <c r="E142" s="2089"/>
      <c r="F142" s="2089"/>
      <c r="G142" s="2089"/>
      <c r="H142" s="2089"/>
      <c r="I142" s="2089"/>
      <c r="J142" s="2089"/>
      <c r="K142" s="2089"/>
      <c r="L142" s="2089"/>
      <c r="M142" s="2089"/>
      <c r="N142" s="2089"/>
      <c r="O142" s="2089"/>
      <c r="P142" s="2089"/>
      <c r="Q142" s="2089"/>
      <c r="R142" s="2090" t="s">
        <v>2357</v>
      </c>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192"/>
      <c r="AZ142" s="1192"/>
      <c r="BA142" s="1192"/>
      <c r="BB142" s="1192"/>
      <c r="BC142" s="1192" t="s">
        <v>250</v>
      </c>
      <c r="BD142" s="1192"/>
      <c r="BE142" s="1196"/>
    </row>
    <row r="143" spans="1:57" ht="15.75" customHeight="1">
      <c r="A143" s="1192"/>
      <c r="B143" s="2092" t="s">
        <v>2356</v>
      </c>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192"/>
      <c r="AZ143" s="1192"/>
      <c r="BA143" s="1192"/>
      <c r="BB143" s="1192"/>
      <c r="BC143" s="1192"/>
      <c r="BD143" s="1192"/>
      <c r="BE143" s="1196"/>
    </row>
    <row r="144" spans="1:57" ht="15.75" customHeight="1">
      <c r="A144" s="1192"/>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192"/>
      <c r="AZ144" s="1192"/>
      <c r="BA144" s="1192"/>
      <c r="BB144" s="1192"/>
      <c r="BC144" s="1192"/>
      <c r="BD144" s="1192"/>
      <c r="BE144" s="1196"/>
    </row>
    <row r="145" spans="1:57" ht="15.75" customHeight="1">
      <c r="A145" s="1192"/>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192"/>
      <c r="AZ145" s="1192"/>
      <c r="BA145" s="1192"/>
      <c r="BB145" s="1192"/>
      <c r="BC145" s="1192"/>
      <c r="BD145" s="1192"/>
      <c r="BE145" s="1196"/>
    </row>
    <row r="146" spans="1:57" ht="15.75" customHeight="1">
      <c r="A146" s="1192"/>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192"/>
      <c r="AZ146" s="1192"/>
      <c r="BA146" s="1192"/>
      <c r="BB146" s="1192"/>
      <c r="BC146" s="1192"/>
      <c r="BD146" s="1192"/>
      <c r="BE146" s="1196"/>
    </row>
    <row r="147" spans="1:57" ht="15.75" customHeight="1">
      <c r="A147" s="1192"/>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192"/>
      <c r="AZ147" s="1192"/>
      <c r="BA147" s="1192"/>
      <c r="BB147" s="1192"/>
      <c r="BC147" s="1192"/>
      <c r="BD147" s="1192"/>
      <c r="BE147" s="1196"/>
    </row>
    <row r="148" spans="1:57" ht="15.75" customHeight="1">
      <c r="A148" s="1192"/>
      <c r="B148" s="2092"/>
      <c r="C148" s="2093"/>
      <c r="D148" s="2093"/>
      <c r="E148" s="2093"/>
      <c r="F148" s="2093"/>
      <c r="G148" s="2093"/>
      <c r="H148" s="2093"/>
      <c r="I148" s="2093"/>
      <c r="J148" s="2093"/>
      <c r="K148" s="2093"/>
      <c r="L148" s="2093"/>
      <c r="M148" s="2093"/>
      <c r="N148" s="2093"/>
      <c r="O148" s="2093"/>
      <c r="P148" s="2093"/>
      <c r="Q148" s="2093"/>
      <c r="R148" s="2093"/>
      <c r="S148" s="2093"/>
      <c r="T148" s="2093"/>
      <c r="U148" s="2093"/>
      <c r="V148" s="2093"/>
      <c r="W148" s="2093"/>
      <c r="X148" s="2093"/>
      <c r="Y148" s="2093"/>
      <c r="Z148" s="2093"/>
      <c r="AA148" s="2093"/>
      <c r="AB148" s="2093"/>
      <c r="AC148" s="2093"/>
      <c r="AD148" s="2093"/>
      <c r="AE148" s="2093"/>
      <c r="AF148" s="2093"/>
      <c r="AG148" s="2093"/>
      <c r="AH148" s="2093"/>
      <c r="AI148" s="2093"/>
      <c r="AJ148" s="2093"/>
      <c r="AK148" s="2093"/>
      <c r="AL148" s="2093"/>
      <c r="AM148" s="2093"/>
      <c r="AN148" s="2093"/>
      <c r="AO148" s="2093"/>
      <c r="AP148" s="2093"/>
      <c r="AQ148" s="2093"/>
      <c r="AR148" s="2093"/>
      <c r="AS148" s="2093"/>
      <c r="AT148" s="2093"/>
      <c r="AU148" s="2093"/>
      <c r="AV148" s="2093"/>
      <c r="AW148" s="2093"/>
      <c r="AX148" s="2094"/>
      <c r="AY148" s="1192"/>
      <c r="AZ148" s="1192"/>
      <c r="BA148" s="1192"/>
      <c r="BB148" s="1192"/>
      <c r="BC148" s="1192"/>
      <c r="BD148" s="1192"/>
      <c r="BE148" s="1196"/>
    </row>
    <row r="149" spans="1:57" ht="15.75" customHeight="1">
      <c r="A149" s="1192"/>
      <c r="B149" s="2092"/>
      <c r="C149" s="2093"/>
      <c r="D149" s="2093"/>
      <c r="E149" s="2093"/>
      <c r="F149" s="2093"/>
      <c r="G149" s="2093"/>
      <c r="H149" s="2093"/>
      <c r="I149" s="2093"/>
      <c r="J149" s="2093"/>
      <c r="K149" s="2093"/>
      <c r="L149" s="2093"/>
      <c r="M149" s="2093"/>
      <c r="N149" s="2093"/>
      <c r="O149" s="2093"/>
      <c r="P149" s="2093"/>
      <c r="Q149" s="2093"/>
      <c r="R149" s="2093"/>
      <c r="S149" s="2093"/>
      <c r="T149" s="2093"/>
      <c r="U149" s="2093"/>
      <c r="V149" s="2093"/>
      <c r="W149" s="2093"/>
      <c r="X149" s="2093"/>
      <c r="Y149" s="2093"/>
      <c r="Z149" s="2093"/>
      <c r="AA149" s="2093"/>
      <c r="AB149" s="2093"/>
      <c r="AC149" s="2093"/>
      <c r="AD149" s="2093"/>
      <c r="AE149" s="2093"/>
      <c r="AF149" s="2093"/>
      <c r="AG149" s="2093"/>
      <c r="AH149" s="2093"/>
      <c r="AI149" s="2093"/>
      <c r="AJ149" s="2093"/>
      <c r="AK149" s="2093"/>
      <c r="AL149" s="2093"/>
      <c r="AM149" s="2093"/>
      <c r="AN149" s="2093"/>
      <c r="AO149" s="2093"/>
      <c r="AP149" s="2093"/>
      <c r="AQ149" s="2093"/>
      <c r="AR149" s="2093"/>
      <c r="AS149" s="2093"/>
      <c r="AT149" s="2093"/>
      <c r="AU149" s="2093"/>
      <c r="AV149" s="2093"/>
      <c r="AW149" s="2093"/>
      <c r="AX149" s="2094"/>
      <c r="AY149" s="1192"/>
      <c r="AZ149" s="1192"/>
      <c r="BA149" s="1192"/>
      <c r="BB149" s="1192"/>
      <c r="BC149" s="1192"/>
      <c r="BD149" s="1192"/>
      <c r="BE149" s="1196"/>
    </row>
    <row r="150" spans="1:57" ht="15.75" customHeight="1">
      <c r="A150" s="1192"/>
      <c r="B150" s="2092"/>
      <c r="C150" s="2093"/>
      <c r="D150" s="2093"/>
      <c r="E150" s="2093"/>
      <c r="F150" s="2093"/>
      <c r="G150" s="2093"/>
      <c r="H150" s="2093"/>
      <c r="I150" s="2093"/>
      <c r="J150" s="2093"/>
      <c r="K150" s="2093"/>
      <c r="L150" s="2093"/>
      <c r="M150" s="2093"/>
      <c r="N150" s="2093"/>
      <c r="O150" s="2093"/>
      <c r="P150" s="2093"/>
      <c r="Q150" s="2093"/>
      <c r="R150" s="2093"/>
      <c r="S150" s="2093"/>
      <c r="T150" s="2093"/>
      <c r="U150" s="2093"/>
      <c r="V150" s="2093"/>
      <c r="W150" s="2093"/>
      <c r="X150" s="2093"/>
      <c r="Y150" s="2093"/>
      <c r="Z150" s="2093"/>
      <c r="AA150" s="2093"/>
      <c r="AB150" s="2093"/>
      <c r="AC150" s="2093"/>
      <c r="AD150" s="2093"/>
      <c r="AE150" s="2093"/>
      <c r="AF150" s="2093"/>
      <c r="AG150" s="2093"/>
      <c r="AH150" s="2093"/>
      <c r="AI150" s="2093"/>
      <c r="AJ150" s="2093"/>
      <c r="AK150" s="2093"/>
      <c r="AL150" s="2093"/>
      <c r="AM150" s="2093"/>
      <c r="AN150" s="2093"/>
      <c r="AO150" s="2093"/>
      <c r="AP150" s="2093"/>
      <c r="AQ150" s="2093"/>
      <c r="AR150" s="2093"/>
      <c r="AS150" s="2093"/>
      <c r="AT150" s="2093"/>
      <c r="AU150" s="2093"/>
      <c r="AV150" s="2093"/>
      <c r="AW150" s="2093"/>
      <c r="AX150" s="2094"/>
      <c r="AY150" s="1192"/>
      <c r="AZ150" s="1192"/>
      <c r="BA150" s="1192"/>
      <c r="BB150" s="1192"/>
      <c r="BC150" s="1192"/>
      <c r="BD150" s="1192"/>
      <c r="BE150" s="1196"/>
    </row>
    <row r="151" spans="1:57" ht="15.75" customHeight="1">
      <c r="A151" s="1192"/>
      <c r="B151" s="2092"/>
      <c r="C151" s="2093"/>
      <c r="D151" s="2093"/>
      <c r="E151" s="2093"/>
      <c r="F151" s="2093"/>
      <c r="G151" s="2093"/>
      <c r="H151" s="2093"/>
      <c r="I151" s="2093"/>
      <c r="J151" s="2093"/>
      <c r="K151" s="2093"/>
      <c r="L151" s="2093"/>
      <c r="M151" s="2093"/>
      <c r="N151" s="2093"/>
      <c r="O151" s="2093"/>
      <c r="P151" s="2093"/>
      <c r="Q151" s="2093"/>
      <c r="R151" s="2093"/>
      <c r="S151" s="2093"/>
      <c r="T151" s="2093"/>
      <c r="U151" s="2093"/>
      <c r="V151" s="2093"/>
      <c r="W151" s="2093"/>
      <c r="X151" s="2093"/>
      <c r="Y151" s="2093"/>
      <c r="Z151" s="2093"/>
      <c r="AA151" s="2093"/>
      <c r="AB151" s="2093"/>
      <c r="AC151" s="2093"/>
      <c r="AD151" s="2093"/>
      <c r="AE151" s="2093"/>
      <c r="AF151" s="2093"/>
      <c r="AG151" s="2093"/>
      <c r="AH151" s="2093"/>
      <c r="AI151" s="2093"/>
      <c r="AJ151" s="2093"/>
      <c r="AK151" s="2093"/>
      <c r="AL151" s="2093"/>
      <c r="AM151" s="2093"/>
      <c r="AN151" s="2093"/>
      <c r="AO151" s="2093"/>
      <c r="AP151" s="2093"/>
      <c r="AQ151" s="2093"/>
      <c r="AR151" s="2093"/>
      <c r="AS151" s="2093"/>
      <c r="AT151" s="2093"/>
      <c r="AU151" s="2093"/>
      <c r="AV151" s="2093"/>
      <c r="AW151" s="2093"/>
      <c r="AX151" s="2094"/>
      <c r="AY151" s="1192"/>
      <c r="AZ151" s="1192"/>
      <c r="BA151" s="1192"/>
      <c r="BB151" s="1192"/>
      <c r="BC151" s="1192"/>
      <c r="BD151" s="1192"/>
      <c r="BE151" s="1196"/>
    </row>
    <row r="152" spans="1:57" ht="15.75" customHeight="1" thickBot="1">
      <c r="A152" s="1192"/>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5" t="s">
        <v>2353</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92"/>
      <c r="W156" s="1194"/>
      <c r="X156" s="2075" t="s">
        <v>2352</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3"/>
      <c r="C157" s="2044"/>
      <c r="D157" s="2044"/>
      <c r="E157" s="2044"/>
      <c r="F157" s="2044"/>
      <c r="G157" s="2044"/>
      <c r="H157" s="2044"/>
      <c r="I157" s="2081" t="s">
        <v>2350</v>
      </c>
      <c r="J157" s="2081"/>
      <c r="K157" s="2081"/>
      <c r="L157" s="2081"/>
      <c r="M157" s="2081"/>
      <c r="N157" s="2081"/>
      <c r="O157" s="2081"/>
      <c r="P157" s="2081" t="s">
        <v>2351</v>
      </c>
      <c r="Q157" s="2081"/>
      <c r="R157" s="2081"/>
      <c r="S157" s="2081"/>
      <c r="T157" s="2081"/>
      <c r="U157" s="2082"/>
      <c r="V157" s="1192"/>
      <c r="W157" s="1192"/>
      <c r="X157" s="2043"/>
      <c r="Y157" s="2044"/>
      <c r="Z157" s="2044"/>
      <c r="AA157" s="2044"/>
      <c r="AB157" s="2044"/>
      <c r="AC157" s="2044"/>
      <c r="AD157" s="2044"/>
      <c r="AE157" s="2081" t="s">
        <v>2350</v>
      </c>
      <c r="AF157" s="2081"/>
      <c r="AG157" s="2081"/>
      <c r="AH157" s="2081"/>
      <c r="AI157" s="2081"/>
      <c r="AJ157" s="2081"/>
      <c r="AK157" s="2081"/>
      <c r="AL157" s="2081" t="s">
        <v>2349</v>
      </c>
      <c r="AM157" s="2081"/>
      <c r="AN157" s="2081"/>
      <c r="AO157" s="2081"/>
      <c r="AP157" s="2081"/>
      <c r="AQ157" s="2082"/>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3"/>
      <c r="C158" s="2044"/>
      <c r="D158" s="2044"/>
      <c r="E158" s="2044"/>
      <c r="F158" s="2044"/>
      <c r="G158" s="2044"/>
      <c r="H158" s="2044"/>
      <c r="I158" s="2081"/>
      <c r="J158" s="2081"/>
      <c r="K158" s="2081"/>
      <c r="L158" s="2081"/>
      <c r="M158" s="2081"/>
      <c r="N158" s="2081"/>
      <c r="O158" s="2081"/>
      <c r="P158" s="2081"/>
      <c r="Q158" s="2081"/>
      <c r="R158" s="2081"/>
      <c r="S158" s="2081"/>
      <c r="T158" s="2081"/>
      <c r="U158" s="2082"/>
      <c r="V158" s="1192"/>
      <c r="W158" s="1192"/>
      <c r="X158" s="2043"/>
      <c r="Y158" s="2044"/>
      <c r="Z158" s="2044"/>
      <c r="AA158" s="2044"/>
      <c r="AB158" s="2044"/>
      <c r="AC158" s="2044"/>
      <c r="AD158" s="2044"/>
      <c r="AE158" s="2081"/>
      <c r="AF158" s="2081"/>
      <c r="AG158" s="2081"/>
      <c r="AH158" s="2081"/>
      <c r="AI158" s="2081"/>
      <c r="AJ158" s="2081"/>
      <c r="AK158" s="2081"/>
      <c r="AL158" s="2081"/>
      <c r="AM158" s="2081"/>
      <c r="AN158" s="2081"/>
      <c r="AO158" s="2081"/>
      <c r="AP158" s="2081"/>
      <c r="AQ158" s="208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7" t="s">
        <v>2348</v>
      </c>
      <c r="C159" s="2078"/>
      <c r="D159" s="2078"/>
      <c r="E159" s="2078"/>
      <c r="F159" s="2078"/>
      <c r="G159" s="2078"/>
      <c r="H159" s="2078"/>
      <c r="I159" s="2079">
        <v>0</v>
      </c>
      <c r="J159" s="2079"/>
      <c r="K159" s="2079"/>
      <c r="L159" s="2079"/>
      <c r="M159" s="2079"/>
      <c r="N159" s="2079"/>
      <c r="O159" s="2079"/>
      <c r="P159" s="2079">
        <v>0</v>
      </c>
      <c r="Q159" s="2079"/>
      <c r="R159" s="2079"/>
      <c r="S159" s="2079"/>
      <c r="T159" s="2079"/>
      <c r="U159" s="2080"/>
      <c r="V159" s="1192"/>
      <c r="W159" s="1192"/>
      <c r="X159" s="2071" t="s">
        <v>2348</v>
      </c>
      <c r="Y159" s="2072"/>
      <c r="Z159" s="2072"/>
      <c r="AA159" s="2072"/>
      <c r="AB159" s="2072"/>
      <c r="AC159" s="2072"/>
      <c r="AD159" s="2072"/>
      <c r="AE159" s="2073">
        <v>0</v>
      </c>
      <c r="AF159" s="2073"/>
      <c r="AG159" s="2073"/>
      <c r="AH159" s="2073"/>
      <c r="AI159" s="2073"/>
      <c r="AJ159" s="2073"/>
      <c r="AK159" s="2073"/>
      <c r="AL159" s="2073">
        <v>0</v>
      </c>
      <c r="AM159" s="2073"/>
      <c r="AN159" s="2073"/>
      <c r="AO159" s="2073"/>
      <c r="AP159" s="2073"/>
      <c r="AQ159" s="2074"/>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71" t="s">
        <v>2347</v>
      </c>
      <c r="C160" s="2072"/>
      <c r="D160" s="2072"/>
      <c r="E160" s="2072"/>
      <c r="F160" s="2072"/>
      <c r="G160" s="2072"/>
      <c r="H160" s="2072"/>
      <c r="I160" s="2073">
        <v>0</v>
      </c>
      <c r="J160" s="2073"/>
      <c r="K160" s="2073"/>
      <c r="L160" s="2073"/>
      <c r="M160" s="2073"/>
      <c r="N160" s="2073"/>
      <c r="O160" s="2073"/>
      <c r="P160" s="2073">
        <v>0</v>
      </c>
      <c r="Q160" s="2073"/>
      <c r="R160" s="2073"/>
      <c r="S160" s="2073"/>
      <c r="T160" s="2073"/>
      <c r="U160" s="2074"/>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5" t="s">
        <v>2346</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3" t="s">
        <v>2331</v>
      </c>
      <c r="D163" s="2044"/>
      <c r="E163" s="2044"/>
      <c r="F163" s="2044"/>
      <c r="G163" s="2044"/>
      <c r="H163" s="2044"/>
      <c r="I163" s="2044"/>
      <c r="J163" s="2044"/>
      <c r="K163" s="2044"/>
      <c r="L163" s="2044"/>
      <c r="M163" s="2044"/>
      <c r="N163" s="2044"/>
      <c r="O163" s="2044"/>
      <c r="P163" s="2044"/>
      <c r="Q163" s="2044" t="s">
        <v>2345</v>
      </c>
      <c r="R163" s="2044"/>
      <c r="S163" s="2044"/>
      <c r="T163" s="2076" t="s">
        <v>2344</v>
      </c>
      <c r="U163" s="2076"/>
      <c r="V163" s="2076"/>
      <c r="W163" s="2076"/>
      <c r="X163" s="2076"/>
      <c r="Y163" s="2076"/>
      <c r="Z163" s="2076"/>
      <c r="AA163" s="2076"/>
      <c r="AB163" s="2044" t="s">
        <v>2343</v>
      </c>
      <c r="AC163" s="2044"/>
      <c r="AD163" s="2044"/>
      <c r="AE163" s="2044"/>
      <c r="AF163" s="2044"/>
      <c r="AG163" s="2045"/>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8" t="s">
        <v>2342</v>
      </c>
      <c r="D164" s="2059"/>
      <c r="E164" s="2059"/>
      <c r="F164" s="2059"/>
      <c r="G164" s="2059"/>
      <c r="H164" s="2059"/>
      <c r="I164" s="2059"/>
      <c r="J164" s="2059"/>
      <c r="K164" s="2059"/>
      <c r="L164" s="2059"/>
      <c r="M164" s="2059"/>
      <c r="N164" s="2059"/>
      <c r="O164" s="2059"/>
      <c r="P164" s="2059"/>
      <c r="Q164" s="2001">
        <v>55</v>
      </c>
      <c r="R164" s="2001"/>
      <c r="S164" s="2001"/>
      <c r="T164" s="2052"/>
      <c r="U164" s="2052"/>
      <c r="V164" s="2052"/>
      <c r="W164" s="2052"/>
      <c r="X164" s="2052"/>
      <c r="Y164" s="2052"/>
      <c r="Z164" s="2052"/>
      <c r="AA164" s="2052"/>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8" t="s">
        <v>2341</v>
      </c>
      <c r="D165" s="2059"/>
      <c r="E165" s="2059"/>
      <c r="F165" s="2059"/>
      <c r="G165" s="2059"/>
      <c r="H165" s="2059"/>
      <c r="I165" s="2059"/>
      <c r="J165" s="2059"/>
      <c r="K165" s="2059"/>
      <c r="L165" s="2059"/>
      <c r="M165" s="2059"/>
      <c r="N165" s="2059"/>
      <c r="O165" s="2059"/>
      <c r="P165" s="2059"/>
      <c r="Q165" s="2001">
        <v>55</v>
      </c>
      <c r="R165" s="2001"/>
      <c r="S165" s="2001"/>
      <c r="T165" s="2061"/>
      <c r="U165" s="2061"/>
      <c r="V165" s="2061"/>
      <c r="W165" s="2061"/>
      <c r="X165" s="2061"/>
      <c r="Y165" s="2061"/>
      <c r="Z165" s="2061"/>
      <c r="AA165" s="20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8" t="s">
        <v>2340</v>
      </c>
      <c r="D166" s="2059"/>
      <c r="E166" s="2059"/>
      <c r="F166" s="2059"/>
      <c r="G166" s="2059"/>
      <c r="H166" s="2059"/>
      <c r="I166" s="2059"/>
      <c r="J166" s="2059"/>
      <c r="K166" s="2059"/>
      <c r="L166" s="2059"/>
      <c r="M166" s="2059"/>
      <c r="N166" s="2059"/>
      <c r="O166" s="2059"/>
      <c r="P166" s="2059"/>
      <c r="Q166" s="2001">
        <v>55</v>
      </c>
      <c r="R166" s="2001"/>
      <c r="S166" s="2001"/>
      <c r="T166" s="2052"/>
      <c r="U166" s="2052"/>
      <c r="V166" s="2052"/>
      <c r="W166" s="2052"/>
      <c r="X166" s="2052"/>
      <c r="Y166" s="2052"/>
      <c r="Z166" s="2052"/>
      <c r="AA166" s="2052"/>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8" t="s">
        <v>2339</v>
      </c>
      <c r="D167" s="2059"/>
      <c r="E167" s="2059"/>
      <c r="F167" s="2059"/>
      <c r="G167" s="2059"/>
      <c r="H167" s="2059"/>
      <c r="I167" s="2059"/>
      <c r="J167" s="2059"/>
      <c r="K167" s="2059"/>
      <c r="L167" s="2059"/>
      <c r="M167" s="2059"/>
      <c r="N167" s="2059"/>
      <c r="O167" s="2059"/>
      <c r="P167" s="2059"/>
      <c r="Q167" s="2001">
        <v>55</v>
      </c>
      <c r="R167" s="2001"/>
      <c r="S167" s="2001"/>
      <c r="T167" s="2052"/>
      <c r="U167" s="2052"/>
      <c r="V167" s="2052"/>
      <c r="W167" s="2052"/>
      <c r="X167" s="2052"/>
      <c r="Y167" s="2052"/>
      <c r="Z167" s="2052"/>
      <c r="AA167" s="2052"/>
      <c r="AB167" s="2062">
        <v>0</v>
      </c>
      <c r="AC167" s="2062"/>
      <c r="AD167" s="2062"/>
      <c r="AE167" s="2062"/>
      <c r="AF167" s="2062"/>
      <c r="AG167" s="2063"/>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8" t="s">
        <v>170</v>
      </c>
      <c r="D168" s="2059"/>
      <c r="E168" s="2059"/>
      <c r="F168" s="2060" t="s">
        <v>2320</v>
      </c>
      <c r="G168" s="2060"/>
      <c r="H168" s="2060"/>
      <c r="I168" s="2060"/>
      <c r="J168" s="2060"/>
      <c r="K168" s="2060"/>
      <c r="L168" s="2060"/>
      <c r="M168" s="2060"/>
      <c r="N168" s="2060"/>
      <c r="O168" s="2060"/>
      <c r="P168" s="2060"/>
      <c r="Q168" s="2001">
        <v>55</v>
      </c>
      <c r="R168" s="2001"/>
      <c r="S168" s="2001"/>
      <c r="T168" s="2061"/>
      <c r="U168" s="2061"/>
      <c r="V168" s="2061"/>
      <c r="W168" s="2061"/>
      <c r="X168" s="2061"/>
      <c r="Y168" s="2061"/>
      <c r="Z168" s="2061"/>
      <c r="AA168" s="2061"/>
      <c r="AB168" s="2062">
        <v>0</v>
      </c>
      <c r="AC168" s="2062"/>
      <c r="AD168" s="2062"/>
      <c r="AE168" s="2062"/>
      <c r="AF168" s="2062"/>
      <c r="AG168" s="2063"/>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8" t="s">
        <v>170</v>
      </c>
      <c r="D169" s="2059"/>
      <c r="E169" s="2059"/>
      <c r="F169" s="2060" t="s">
        <v>2320</v>
      </c>
      <c r="G169" s="2060"/>
      <c r="H169" s="2060"/>
      <c r="I169" s="2060"/>
      <c r="J169" s="2060"/>
      <c r="K169" s="2060"/>
      <c r="L169" s="2060"/>
      <c r="M169" s="2060"/>
      <c r="N169" s="2060"/>
      <c r="O169" s="2060"/>
      <c r="P169" s="2060"/>
      <c r="Q169" s="2001">
        <v>55</v>
      </c>
      <c r="R169" s="2001"/>
      <c r="S169" s="2001"/>
      <c r="T169" s="2061"/>
      <c r="U169" s="2061"/>
      <c r="V169" s="2061"/>
      <c r="W169" s="2061"/>
      <c r="X169" s="2061"/>
      <c r="Y169" s="2061"/>
      <c r="Z169" s="2061"/>
      <c r="AA169" s="2061"/>
      <c r="AB169" s="2062">
        <v>0</v>
      </c>
      <c r="AC169" s="2062"/>
      <c r="AD169" s="2062"/>
      <c r="AE169" s="2062"/>
      <c r="AF169" s="2062"/>
      <c r="AG169" s="2063"/>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4" t="s">
        <v>170</v>
      </c>
      <c r="D170" s="2065"/>
      <c r="E170" s="2065"/>
      <c r="F170" s="2066" t="s">
        <v>2320</v>
      </c>
      <c r="G170" s="2066"/>
      <c r="H170" s="2066"/>
      <c r="I170" s="2066"/>
      <c r="J170" s="2066"/>
      <c r="K170" s="2066"/>
      <c r="L170" s="2066"/>
      <c r="M170" s="2066"/>
      <c r="N170" s="2066"/>
      <c r="O170" s="2066"/>
      <c r="P170" s="2066"/>
      <c r="Q170" s="2067">
        <v>55</v>
      </c>
      <c r="R170" s="2067"/>
      <c r="S170" s="2067"/>
      <c r="T170" s="2068"/>
      <c r="U170" s="2068"/>
      <c r="V170" s="2068"/>
      <c r="W170" s="2068"/>
      <c r="X170" s="2068"/>
      <c r="Y170" s="2068"/>
      <c r="Z170" s="2068"/>
      <c r="AA170" s="2068"/>
      <c r="AB170" s="2069">
        <v>0</v>
      </c>
      <c r="AC170" s="2069"/>
      <c r="AD170" s="2069"/>
      <c r="AE170" s="2069"/>
      <c r="AF170" s="2069"/>
      <c r="AG170" s="20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9" t="s">
        <v>2338</v>
      </c>
      <c r="D172" s="2030"/>
      <c r="E172" s="2030"/>
      <c r="F172" s="2030"/>
      <c r="G172" s="2030"/>
      <c r="H172" s="2030"/>
      <c r="I172" s="2030"/>
      <c r="J172" s="2030"/>
      <c r="K172" s="2030"/>
      <c r="L172" s="2030"/>
      <c r="M172" s="2030"/>
      <c r="N172" s="2039"/>
      <c r="O172" s="1192"/>
      <c r="P172" s="2040" t="s">
        <v>2337</v>
      </c>
      <c r="Q172" s="2041"/>
      <c r="R172" s="2041"/>
      <c r="S172" s="2041"/>
      <c r="T172" s="2041"/>
      <c r="U172" s="2041"/>
      <c r="V172" s="2041"/>
      <c r="W172" s="2041"/>
      <c r="X172" s="2041"/>
      <c r="Y172" s="2041"/>
      <c r="Z172" s="2041"/>
      <c r="AA172" s="2041"/>
      <c r="AB172" s="2041"/>
      <c r="AC172" s="2041"/>
      <c r="AD172" s="2041"/>
      <c r="AE172" s="2041"/>
      <c r="AF172" s="2041"/>
      <c r="AG172" s="2041"/>
      <c r="AH172" s="2041"/>
      <c r="AI172" s="2041"/>
      <c r="AJ172" s="2041"/>
      <c r="AK172" s="2041"/>
      <c r="AL172" s="2041"/>
      <c r="AM172" s="2041"/>
      <c r="AN172" s="2041"/>
      <c r="AO172" s="2042"/>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3" t="s">
        <v>2336</v>
      </c>
      <c r="D173" s="2044"/>
      <c r="E173" s="2044"/>
      <c r="F173" s="2044"/>
      <c r="G173" s="2044"/>
      <c r="H173" s="2044"/>
      <c r="I173" s="2044" t="s">
        <v>2335</v>
      </c>
      <c r="J173" s="2044"/>
      <c r="K173" s="2044"/>
      <c r="L173" s="2044"/>
      <c r="M173" s="2044"/>
      <c r="N173" s="2045"/>
      <c r="O173" s="1192"/>
      <c r="P173" s="2046" t="s">
        <v>2334</v>
      </c>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91"/>
      <c r="D174" s="1992"/>
      <c r="E174" s="1992"/>
      <c r="F174" s="1992"/>
      <c r="G174" s="1992"/>
      <c r="H174" s="1992"/>
      <c r="I174" s="2052"/>
      <c r="J174" s="2052"/>
      <c r="K174" s="2052"/>
      <c r="L174" s="2052"/>
      <c r="M174" s="2052"/>
      <c r="N174" s="2053"/>
      <c r="O174" s="1192"/>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91"/>
      <c r="D175" s="1992"/>
      <c r="E175" s="1992"/>
      <c r="F175" s="1992"/>
      <c r="G175" s="1992"/>
      <c r="H175" s="1992"/>
      <c r="I175" s="2052"/>
      <c r="J175" s="2052"/>
      <c r="K175" s="2052"/>
      <c r="L175" s="2052"/>
      <c r="M175" s="2052"/>
      <c r="N175" s="2053"/>
      <c r="O175" s="1192"/>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91"/>
      <c r="D176" s="1992"/>
      <c r="E176" s="1992"/>
      <c r="F176" s="1992"/>
      <c r="G176" s="1992"/>
      <c r="H176" s="1992"/>
      <c r="I176" s="2052"/>
      <c r="J176" s="2052"/>
      <c r="K176" s="2052"/>
      <c r="L176" s="2052"/>
      <c r="M176" s="2052"/>
      <c r="N176" s="2053"/>
      <c r="O176" s="1192"/>
      <c r="P176" s="2046"/>
      <c r="Q176" s="2047"/>
      <c r="R176" s="2047"/>
      <c r="S176" s="2047"/>
      <c r="T176" s="2047"/>
      <c r="U176" s="2047"/>
      <c r="V176" s="2047"/>
      <c r="W176" s="2047"/>
      <c r="X176" s="2047"/>
      <c r="Y176" s="2047"/>
      <c r="Z176" s="2047"/>
      <c r="AA176" s="2047"/>
      <c r="AB176" s="2047"/>
      <c r="AC176" s="2047"/>
      <c r="AD176" s="2047"/>
      <c r="AE176" s="2047"/>
      <c r="AF176" s="2047"/>
      <c r="AG176" s="2047"/>
      <c r="AH176" s="2047"/>
      <c r="AI176" s="2047"/>
      <c r="AJ176" s="2047"/>
      <c r="AK176" s="2047"/>
      <c r="AL176" s="2047"/>
      <c r="AM176" s="2047"/>
      <c r="AN176" s="2047"/>
      <c r="AO176" s="2048"/>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91"/>
      <c r="D177" s="1992"/>
      <c r="E177" s="1992"/>
      <c r="F177" s="1992"/>
      <c r="G177" s="1992"/>
      <c r="H177" s="1992"/>
      <c r="I177" s="2052"/>
      <c r="J177" s="2052"/>
      <c r="K177" s="2052"/>
      <c r="L177" s="2052"/>
      <c r="M177" s="2052"/>
      <c r="N177" s="2053"/>
      <c r="O177" s="1192"/>
      <c r="P177" s="2046"/>
      <c r="Q177" s="2047"/>
      <c r="R177" s="2047"/>
      <c r="S177" s="2047"/>
      <c r="T177" s="2047"/>
      <c r="U177" s="2047"/>
      <c r="V177" s="2047"/>
      <c r="W177" s="2047"/>
      <c r="X177" s="2047"/>
      <c r="Y177" s="2047"/>
      <c r="Z177" s="2047"/>
      <c r="AA177" s="2047"/>
      <c r="AB177" s="2047"/>
      <c r="AC177" s="2047"/>
      <c r="AD177" s="2047"/>
      <c r="AE177" s="2047"/>
      <c r="AF177" s="2047"/>
      <c r="AG177" s="2047"/>
      <c r="AH177" s="2047"/>
      <c r="AI177" s="2047"/>
      <c r="AJ177" s="2047"/>
      <c r="AK177" s="2047"/>
      <c r="AL177" s="2047"/>
      <c r="AM177" s="2047"/>
      <c r="AN177" s="2047"/>
      <c r="AO177" s="2048"/>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91"/>
      <c r="D178" s="1992"/>
      <c r="E178" s="1992"/>
      <c r="F178" s="1992"/>
      <c r="G178" s="1992"/>
      <c r="H178" s="1992"/>
      <c r="I178" s="2052"/>
      <c r="J178" s="2052"/>
      <c r="K178" s="2052"/>
      <c r="L178" s="2052"/>
      <c r="M178" s="2052"/>
      <c r="N178" s="2053"/>
      <c r="O178" s="1192"/>
      <c r="P178" s="2046"/>
      <c r="Q178" s="2047"/>
      <c r="R178" s="2047"/>
      <c r="S178" s="2047"/>
      <c r="T178" s="2047"/>
      <c r="U178" s="2047"/>
      <c r="V178" s="2047"/>
      <c r="W178" s="2047"/>
      <c r="X178" s="2047"/>
      <c r="Y178" s="2047"/>
      <c r="Z178" s="2047"/>
      <c r="AA178" s="2047"/>
      <c r="AB178" s="2047"/>
      <c r="AC178" s="2047"/>
      <c r="AD178" s="2047"/>
      <c r="AE178" s="2047"/>
      <c r="AF178" s="2047"/>
      <c r="AG178" s="2047"/>
      <c r="AH178" s="2047"/>
      <c r="AI178" s="2047"/>
      <c r="AJ178" s="2047"/>
      <c r="AK178" s="2047"/>
      <c r="AL178" s="2047"/>
      <c r="AM178" s="2047"/>
      <c r="AN178" s="2047"/>
      <c r="AO178" s="2048"/>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91"/>
      <c r="D179" s="1992"/>
      <c r="E179" s="1992"/>
      <c r="F179" s="1992"/>
      <c r="G179" s="1992"/>
      <c r="H179" s="1992"/>
      <c r="I179" s="2052"/>
      <c r="J179" s="2052"/>
      <c r="K179" s="2052"/>
      <c r="L179" s="2052"/>
      <c r="M179" s="2052"/>
      <c r="N179" s="2053"/>
      <c r="O179" s="1192"/>
      <c r="P179" s="2046"/>
      <c r="Q179" s="2047"/>
      <c r="R179" s="2047"/>
      <c r="S179" s="2047"/>
      <c r="T179" s="2047"/>
      <c r="U179" s="2047"/>
      <c r="V179" s="2047"/>
      <c r="W179" s="2047"/>
      <c r="X179" s="2047"/>
      <c r="Y179" s="2047"/>
      <c r="Z179" s="2047"/>
      <c r="AA179" s="2047"/>
      <c r="AB179" s="2047"/>
      <c r="AC179" s="2047"/>
      <c r="AD179" s="2047"/>
      <c r="AE179" s="2047"/>
      <c r="AF179" s="2047"/>
      <c r="AG179" s="2047"/>
      <c r="AH179" s="2047"/>
      <c r="AI179" s="2047"/>
      <c r="AJ179" s="2047"/>
      <c r="AK179" s="2047"/>
      <c r="AL179" s="2047"/>
      <c r="AM179" s="2047"/>
      <c r="AN179" s="2047"/>
      <c r="AO179" s="2048"/>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4"/>
      <c r="D180" s="2055"/>
      <c r="E180" s="2055"/>
      <c r="F180" s="2055"/>
      <c r="G180" s="2055"/>
      <c r="H180" s="2055"/>
      <c r="I180" s="2056"/>
      <c r="J180" s="2056"/>
      <c r="K180" s="2056"/>
      <c r="L180" s="2056"/>
      <c r="M180" s="2056"/>
      <c r="N180" s="2057"/>
      <c r="O180" s="1192"/>
      <c r="P180" s="2049"/>
      <c r="Q180" s="2050"/>
      <c r="R180" s="2050"/>
      <c r="S180" s="2050"/>
      <c r="T180" s="2050"/>
      <c r="U180" s="2050"/>
      <c r="V180" s="2050"/>
      <c r="W180" s="2050"/>
      <c r="X180" s="2050"/>
      <c r="Y180" s="2050"/>
      <c r="Z180" s="2050"/>
      <c r="AA180" s="2050"/>
      <c r="AB180" s="2050"/>
      <c r="AC180" s="2050"/>
      <c r="AD180" s="2050"/>
      <c r="AE180" s="2050"/>
      <c r="AF180" s="2050"/>
      <c r="AG180" s="2050"/>
      <c r="AH180" s="2050"/>
      <c r="AI180" s="2050"/>
      <c r="AJ180" s="2050"/>
      <c r="AK180" s="2050"/>
      <c r="AL180" s="2050"/>
      <c r="AM180" s="2050"/>
      <c r="AN180" s="2050"/>
      <c r="AO180" s="2051"/>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20" t="s">
        <v>2333</v>
      </c>
      <c r="D182" s="2021"/>
      <c r="E182" s="2021"/>
      <c r="F182" s="2021"/>
      <c r="G182" s="2021"/>
      <c r="H182" s="2021"/>
      <c r="I182" s="2021"/>
      <c r="J182" s="2021"/>
      <c r="K182" s="2021"/>
      <c r="L182" s="2021"/>
      <c r="M182" s="2021"/>
      <c r="N182" s="2021"/>
      <c r="O182" s="2021"/>
      <c r="P182" s="2021"/>
      <c r="Q182" s="2021"/>
      <c r="R182" s="2021"/>
      <c r="S182" s="2021"/>
      <c r="T182" s="2021"/>
      <c r="U182" s="2021"/>
      <c r="V182" s="2021"/>
      <c r="W182" s="2021"/>
      <c r="X182" s="2021"/>
      <c r="Y182" s="2021"/>
      <c r="Z182" s="2021"/>
      <c r="AA182" s="2021"/>
      <c r="AB182" s="2021"/>
      <c r="AC182" s="2021"/>
      <c r="AD182" s="2021"/>
      <c r="AE182" s="2022"/>
      <c r="AF182" s="1192"/>
      <c r="AG182" s="1192"/>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192"/>
      <c r="B183" s="1192"/>
      <c r="C183" s="2023"/>
      <c r="D183" s="2024"/>
      <c r="E183" s="2024"/>
      <c r="F183" s="2024"/>
      <c r="G183" s="2024"/>
      <c r="H183" s="2024"/>
      <c r="I183" s="2024"/>
      <c r="J183" s="2024"/>
      <c r="K183" s="2024"/>
      <c r="L183" s="2024"/>
      <c r="M183" s="2024"/>
      <c r="N183" s="2024"/>
      <c r="O183" s="2024"/>
      <c r="P183" s="2024"/>
      <c r="Q183" s="2024"/>
      <c r="R183" s="2024"/>
      <c r="S183" s="2024"/>
      <c r="T183" s="2024"/>
      <c r="U183" s="2024"/>
      <c r="V183" s="2024"/>
      <c r="W183" s="2024"/>
      <c r="X183" s="2024"/>
      <c r="Y183" s="2024"/>
      <c r="Z183" s="2024"/>
      <c r="AA183" s="2024"/>
      <c r="AB183" s="2024"/>
      <c r="AC183" s="2024"/>
      <c r="AD183" s="2024"/>
      <c r="AE183" s="2025"/>
      <c r="AF183" s="1192"/>
      <c r="AG183" s="1192"/>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c r="A184" s="1192"/>
      <c r="B184" s="1192"/>
      <c r="C184" s="2029" t="s">
        <v>2331</v>
      </c>
      <c r="D184" s="2030"/>
      <c r="E184" s="2030"/>
      <c r="F184" s="2030"/>
      <c r="G184" s="2030"/>
      <c r="H184" s="2030"/>
      <c r="I184" s="2030"/>
      <c r="J184" s="2030"/>
      <c r="K184" s="2030"/>
      <c r="L184" s="2030"/>
      <c r="M184" s="2030"/>
      <c r="N184" s="2030" t="s">
        <v>2332</v>
      </c>
      <c r="O184" s="2030"/>
      <c r="P184" s="2030"/>
      <c r="Q184" s="2030"/>
      <c r="R184" s="2030"/>
      <c r="S184" s="2030"/>
      <c r="T184" s="2030"/>
      <c r="U184" s="2031" t="s">
        <v>2331</v>
      </c>
      <c r="V184" s="2031"/>
      <c r="W184" s="2031"/>
      <c r="X184" s="2031"/>
      <c r="Y184" s="2031"/>
      <c r="Z184" s="2031"/>
      <c r="AA184" s="2031"/>
      <c r="AB184" s="2031"/>
      <c r="AC184" s="2031"/>
      <c r="AD184" s="2031"/>
      <c r="AE184" s="2032"/>
      <c r="AF184" s="1192"/>
      <c r="AG184" s="1192"/>
      <c r="AH184" s="1905"/>
      <c r="AI184" s="1905"/>
      <c r="AJ184" s="1905"/>
      <c r="AK184" s="1905"/>
      <c r="AL184" s="1905"/>
      <c r="AM184" s="1905"/>
      <c r="AN184" s="1905"/>
      <c r="AO184" s="1905"/>
      <c r="AP184" s="1905"/>
      <c r="AQ184" s="1905"/>
      <c r="AR184" s="1905"/>
      <c r="AS184" s="1905"/>
      <c r="AT184" s="1905"/>
      <c r="AU184" s="1905"/>
      <c r="AV184" s="1905"/>
      <c r="AW184" s="1905"/>
      <c r="AX184" s="1905"/>
      <c r="AY184" s="1905"/>
      <c r="AZ184" s="1905"/>
      <c r="BA184" s="1905"/>
      <c r="BB184" s="1905"/>
      <c r="BC184" s="1905"/>
      <c r="BD184" s="1905"/>
      <c r="BE184" s="1905"/>
    </row>
    <row r="185" spans="1:57" ht="15.75" customHeight="1">
      <c r="A185" s="1192"/>
      <c r="B185" s="1192"/>
      <c r="C185" s="2008" t="s">
        <v>2330</v>
      </c>
      <c r="D185" s="2009"/>
      <c r="E185" s="2009"/>
      <c r="F185" s="2009"/>
      <c r="G185" s="2009"/>
      <c r="H185" s="2009"/>
      <c r="I185" s="2009"/>
      <c r="J185" s="2009"/>
      <c r="K185" s="2009"/>
      <c r="L185" s="2009"/>
      <c r="M185" s="2009"/>
      <c r="N185" s="2019">
        <f>'Sources and Uses Budget'!B105</f>
        <v>42947189</v>
      </c>
      <c r="O185" s="2019"/>
      <c r="P185" s="2019"/>
      <c r="Q185" s="2019"/>
      <c r="R185" s="2019"/>
      <c r="S185" s="2019"/>
      <c r="T185" s="2019"/>
      <c r="U185" s="2033"/>
      <c r="V185" s="2033"/>
      <c r="W185" s="2033"/>
      <c r="X185" s="2033"/>
      <c r="Y185" s="2033"/>
      <c r="Z185" s="2033"/>
      <c r="AA185" s="2033"/>
      <c r="AB185" s="2033"/>
      <c r="AC185" s="2033"/>
      <c r="AD185" s="2033"/>
      <c r="AE185" s="2034"/>
      <c r="AF185" s="1192"/>
      <c r="AG185" s="1192"/>
      <c r="AH185" s="1905"/>
      <c r="AI185" s="1905"/>
      <c r="AJ185" s="1905"/>
      <c r="AK185" s="1905"/>
      <c r="AL185" s="1905"/>
      <c r="AM185" s="1905"/>
      <c r="AN185" s="1905"/>
      <c r="AO185" s="1905"/>
      <c r="AP185" s="1905"/>
      <c r="AQ185" s="1905"/>
      <c r="AR185" s="1905"/>
      <c r="AS185" s="1905"/>
      <c r="AT185" s="1905"/>
      <c r="AU185" s="1905"/>
      <c r="AV185" s="1905"/>
      <c r="AW185" s="1905"/>
      <c r="AX185" s="1905"/>
      <c r="AY185" s="1905"/>
      <c r="AZ185" s="1905"/>
      <c r="BA185" s="1905"/>
      <c r="BB185" s="1905"/>
      <c r="BC185" s="1905"/>
      <c r="BD185" s="1905"/>
      <c r="BE185" s="1905"/>
    </row>
    <row r="186" spans="1:57" ht="15.75" customHeight="1">
      <c r="A186" s="1192"/>
      <c r="B186" s="1192"/>
      <c r="C186" s="2008" t="s">
        <v>2329</v>
      </c>
      <c r="D186" s="2009"/>
      <c r="E186" s="2009"/>
      <c r="F186" s="2009"/>
      <c r="G186" s="2009"/>
      <c r="H186" s="2009"/>
      <c r="I186" s="2009"/>
      <c r="J186" s="2009"/>
      <c r="K186" s="2009"/>
      <c r="L186" s="2009"/>
      <c r="M186" s="2009"/>
      <c r="N186" s="2019">
        <f>N185/J29</f>
        <v>671049.828125</v>
      </c>
      <c r="O186" s="2019"/>
      <c r="P186" s="2019"/>
      <c r="Q186" s="2019"/>
      <c r="R186" s="2019"/>
      <c r="S186" s="2019"/>
      <c r="T186" s="2019"/>
      <c r="U186" s="1232"/>
      <c r="V186" s="1232"/>
      <c r="W186" s="1232"/>
      <c r="X186" s="1232"/>
      <c r="Y186" s="1232"/>
      <c r="Z186" s="1232"/>
      <c r="AA186" s="1232"/>
      <c r="AB186" s="1232"/>
      <c r="AC186" s="1232"/>
      <c r="AD186" s="1232"/>
      <c r="AE186" s="1233"/>
      <c r="AF186" s="1192"/>
      <c r="AG186" s="1192"/>
      <c r="AH186" s="1905"/>
      <c r="AI186" s="1905"/>
      <c r="AJ186" s="1905"/>
      <c r="AK186" s="1905"/>
      <c r="AL186" s="1905"/>
      <c r="AM186" s="1905"/>
      <c r="AN186" s="1905"/>
      <c r="AO186" s="1905"/>
      <c r="AP186" s="1905"/>
      <c r="AQ186" s="1905"/>
      <c r="AR186" s="1905"/>
      <c r="AS186" s="1905"/>
      <c r="AT186" s="1905"/>
      <c r="AU186" s="1905"/>
      <c r="AV186" s="1905"/>
      <c r="AW186" s="1905"/>
      <c r="AX186" s="1905"/>
      <c r="AY186" s="1905"/>
      <c r="AZ186" s="1905"/>
      <c r="BA186" s="1905"/>
      <c r="BB186" s="1905"/>
      <c r="BC186" s="1905"/>
      <c r="BD186" s="1905"/>
      <c r="BE186" s="1905"/>
    </row>
    <row r="187" spans="1:57" ht="15.75" customHeight="1">
      <c r="A187" s="1192"/>
      <c r="B187" s="1192"/>
      <c r="C187" s="2035" t="s">
        <v>2328</v>
      </c>
      <c r="D187" s="2036"/>
      <c r="E187" s="2036"/>
      <c r="F187" s="2036"/>
      <c r="G187" s="2036"/>
      <c r="H187" s="2036"/>
      <c r="I187" s="2036"/>
      <c r="J187" s="2036"/>
      <c r="K187" s="2036"/>
      <c r="L187" s="2036"/>
      <c r="M187" s="2036"/>
      <c r="N187" s="2037">
        <v>0</v>
      </c>
      <c r="O187" s="2037"/>
      <c r="P187" s="2037"/>
      <c r="Q187" s="2037"/>
      <c r="R187" s="2037"/>
      <c r="S187" s="2037"/>
      <c r="T187" s="2037"/>
      <c r="U187" s="1995"/>
      <c r="V187" s="1995"/>
      <c r="W187" s="1995"/>
      <c r="X187" s="1995"/>
      <c r="Y187" s="1995"/>
      <c r="Z187" s="1995"/>
      <c r="AA187" s="1995"/>
      <c r="AB187" s="1995"/>
      <c r="AC187" s="1995"/>
      <c r="AD187" s="1995"/>
      <c r="AE187" s="1996"/>
      <c r="AF187" s="1192"/>
      <c r="AG187" s="1192"/>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1905"/>
    </row>
    <row r="188" spans="1:57" ht="15.75" customHeight="1" thickBot="1">
      <c r="A188" s="1192"/>
      <c r="B188" s="1192"/>
      <c r="C188" s="2008" t="s">
        <v>2327</v>
      </c>
      <c r="D188" s="2009"/>
      <c r="E188" s="2009"/>
      <c r="F188" s="2009"/>
      <c r="G188" s="2009"/>
      <c r="H188" s="2009"/>
      <c r="I188" s="2009"/>
      <c r="J188" s="2009"/>
      <c r="K188" s="2009"/>
      <c r="L188" s="2009"/>
      <c r="M188" s="2009"/>
      <c r="N188" s="2038">
        <f>SUM('Sources and Uses Budget'!B85:B86)</f>
        <v>1819504</v>
      </c>
      <c r="O188" s="2038"/>
      <c r="P188" s="2038"/>
      <c r="Q188" s="2038"/>
      <c r="R188" s="2038"/>
      <c r="S188" s="2038"/>
      <c r="T188" s="2038"/>
      <c r="U188" s="1995"/>
      <c r="V188" s="1995"/>
      <c r="W188" s="1995"/>
      <c r="X188" s="1995"/>
      <c r="Y188" s="1995"/>
      <c r="Z188" s="1995"/>
      <c r="AA188" s="1995"/>
      <c r="AB188" s="1995"/>
      <c r="AC188" s="1995"/>
      <c r="AD188" s="1995"/>
      <c r="AE188" s="1996"/>
      <c r="AF188" s="1192"/>
      <c r="AG188" s="1192"/>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1905"/>
    </row>
    <row r="189" spans="1:57" ht="15.75" customHeight="1" thickBot="1">
      <c r="A189" s="1192"/>
      <c r="B189" s="1192"/>
      <c r="C189" s="2008" t="s">
        <v>2326</v>
      </c>
      <c r="D189" s="2009"/>
      <c r="E189" s="2009"/>
      <c r="F189" s="2009"/>
      <c r="G189" s="2009"/>
      <c r="H189" s="2009"/>
      <c r="I189" s="2009"/>
      <c r="J189" s="2009"/>
      <c r="K189" s="2009"/>
      <c r="L189" s="2009"/>
      <c r="M189" s="2009"/>
      <c r="N189" s="2038">
        <f>'Sources and Uses Budget'!B8</f>
        <v>1995000</v>
      </c>
      <c r="O189" s="2038"/>
      <c r="P189" s="2038"/>
      <c r="Q189" s="2038"/>
      <c r="R189" s="2038"/>
      <c r="S189" s="2038"/>
      <c r="T189" s="2038"/>
      <c r="U189" s="1995"/>
      <c r="V189" s="1995"/>
      <c r="W189" s="1995"/>
      <c r="X189" s="1995"/>
      <c r="Y189" s="1995"/>
      <c r="Z189" s="1995"/>
      <c r="AA189" s="1995"/>
      <c r="AB189" s="1995"/>
      <c r="AC189" s="1995"/>
      <c r="AD189" s="1995"/>
      <c r="AE189" s="1996"/>
      <c r="AF189" s="1192"/>
      <c r="AG189" s="1192"/>
      <c r="AH189" s="2005" t="s">
        <v>2324</v>
      </c>
      <c r="AI189" s="2006"/>
      <c r="AJ189" s="2006"/>
      <c r="AK189" s="2006"/>
      <c r="AL189" s="2006"/>
      <c r="AM189" s="2006"/>
      <c r="AN189" s="2006"/>
      <c r="AO189" s="2006"/>
      <c r="AP189" s="2006"/>
      <c r="AQ189" s="2006"/>
      <c r="AR189" s="2006"/>
      <c r="AS189" s="2006"/>
      <c r="AT189" s="2006"/>
      <c r="AU189" s="2006"/>
      <c r="AV189" s="2006"/>
      <c r="AW189" s="2006"/>
      <c r="AX189" s="2006"/>
      <c r="AY189" s="2006"/>
      <c r="AZ189" s="2006"/>
      <c r="BA189" s="2006"/>
      <c r="BB189" s="2006"/>
      <c r="BC189" s="2006"/>
      <c r="BD189" s="2006"/>
      <c r="BE189" s="2007"/>
    </row>
    <row r="190" spans="1:57" ht="15.75" customHeight="1">
      <c r="A190" s="1192"/>
      <c r="B190" s="1192"/>
      <c r="C190" s="2008" t="s">
        <v>2325</v>
      </c>
      <c r="D190" s="2009"/>
      <c r="E190" s="2009"/>
      <c r="F190" s="2009"/>
      <c r="G190" s="2009"/>
      <c r="H190" s="2009"/>
      <c r="I190" s="2009"/>
      <c r="J190" s="2009"/>
      <c r="K190" s="2009"/>
      <c r="L190" s="2009"/>
      <c r="M190" s="2009"/>
      <c r="N190" s="1994">
        <v>0</v>
      </c>
      <c r="O190" s="1994"/>
      <c r="P190" s="1994"/>
      <c r="Q190" s="1994"/>
      <c r="R190" s="1994"/>
      <c r="S190" s="1994"/>
      <c r="T190" s="1994"/>
      <c r="U190" s="1995"/>
      <c r="V190" s="1995"/>
      <c r="W190" s="1995"/>
      <c r="X190" s="1995"/>
      <c r="Y190" s="1995"/>
      <c r="Z190" s="1995"/>
      <c r="AA190" s="1995"/>
      <c r="AB190" s="1995"/>
      <c r="AC190" s="1995"/>
      <c r="AD190" s="1995"/>
      <c r="AE190" s="1996"/>
      <c r="AF190" s="1192"/>
      <c r="AG190" s="1192"/>
      <c r="AH190" s="2010" t="s">
        <v>2324</v>
      </c>
      <c r="AI190" s="2011"/>
      <c r="AJ190" s="2011"/>
      <c r="AK190" s="2011"/>
      <c r="AL190" s="2011"/>
      <c r="AM190" s="2011"/>
      <c r="AN190" s="2011"/>
      <c r="AO190" s="2011"/>
      <c r="AP190" s="2011"/>
      <c r="AQ190" s="2011"/>
      <c r="AR190" s="2011"/>
      <c r="AS190" s="2011"/>
      <c r="AT190" s="2011"/>
      <c r="AU190" s="2012">
        <v>0</v>
      </c>
      <c r="AV190" s="2012"/>
      <c r="AW190" s="2012"/>
      <c r="AX190" s="2012"/>
      <c r="AY190" s="2012"/>
      <c r="AZ190" s="2012"/>
      <c r="BA190" s="2012"/>
      <c r="BB190" s="2012"/>
      <c r="BC190" s="2013"/>
      <c r="BD190" s="2014"/>
      <c r="BE190" s="2015"/>
    </row>
    <row r="191" spans="1:57" ht="15.75" customHeight="1">
      <c r="A191" s="1192"/>
      <c r="B191" s="1192"/>
      <c r="C191" s="2008" t="s">
        <v>2323</v>
      </c>
      <c r="D191" s="2009"/>
      <c r="E191" s="2009"/>
      <c r="F191" s="2009"/>
      <c r="G191" s="2009"/>
      <c r="H191" s="2009"/>
      <c r="I191" s="2009"/>
      <c r="J191" s="2009"/>
      <c r="K191" s="2009"/>
      <c r="L191" s="2009"/>
      <c r="M191" s="2009"/>
      <c r="N191" s="1994">
        <v>0</v>
      </c>
      <c r="O191" s="1994"/>
      <c r="P191" s="1994"/>
      <c r="Q191" s="1994"/>
      <c r="R191" s="1994"/>
      <c r="S191" s="1994"/>
      <c r="T191" s="1994"/>
      <c r="U191" s="1995"/>
      <c r="V191" s="1995"/>
      <c r="W191" s="1995"/>
      <c r="X191" s="1995"/>
      <c r="Y191" s="1995"/>
      <c r="Z191" s="1995"/>
      <c r="AA191" s="1995"/>
      <c r="AB191" s="1995"/>
      <c r="AC191" s="1995"/>
      <c r="AD191" s="1995"/>
      <c r="AE191" s="1996"/>
      <c r="AF191" s="1192"/>
      <c r="AG191" s="1192"/>
      <c r="AH191" s="2026" t="s">
        <v>2322</v>
      </c>
      <c r="AI191" s="2027"/>
      <c r="AJ191" s="2027"/>
      <c r="AK191" s="2027"/>
      <c r="AL191" s="2027"/>
      <c r="AM191" s="2027"/>
      <c r="AN191" s="2027"/>
      <c r="AO191" s="2027"/>
      <c r="AP191" s="2027"/>
      <c r="AQ191" s="2027"/>
      <c r="AR191" s="2027"/>
      <c r="AS191" s="2027"/>
      <c r="AT191" s="2027"/>
      <c r="AU191" s="2028"/>
      <c r="AV191" s="2028"/>
      <c r="AW191" s="2028"/>
      <c r="AX191" s="2028"/>
      <c r="AY191" s="2028"/>
      <c r="AZ191" s="2028"/>
      <c r="BA191" s="2028"/>
      <c r="BB191" s="2028"/>
      <c r="BC191" s="2016"/>
      <c r="BD191" s="2017"/>
      <c r="BE191" s="2018"/>
    </row>
    <row r="192" spans="1:57" ht="15.75" customHeight="1">
      <c r="A192" s="1192"/>
      <c r="B192" s="1192"/>
      <c r="C192" s="2000" t="s">
        <v>300</v>
      </c>
      <c r="D192" s="2001"/>
      <c r="E192" s="1993" t="s">
        <v>2320</v>
      </c>
      <c r="F192" s="1993"/>
      <c r="G192" s="1993"/>
      <c r="H192" s="1993"/>
      <c r="I192" s="1993"/>
      <c r="J192" s="1993"/>
      <c r="K192" s="1993"/>
      <c r="L192" s="1993"/>
      <c r="M192" s="1993"/>
      <c r="N192" s="1994">
        <v>0</v>
      </c>
      <c r="O192" s="1994"/>
      <c r="P192" s="1994"/>
      <c r="Q192" s="1994"/>
      <c r="R192" s="1994"/>
      <c r="S192" s="1994"/>
      <c r="T192" s="1994"/>
      <c r="U192" s="1995"/>
      <c r="V192" s="1995"/>
      <c r="W192" s="1995"/>
      <c r="X192" s="1995"/>
      <c r="Y192" s="1995"/>
      <c r="Z192" s="1995"/>
      <c r="AA192" s="1995"/>
      <c r="AB192" s="1995"/>
      <c r="AC192" s="1995"/>
      <c r="AD192" s="1995"/>
      <c r="AE192" s="1996"/>
      <c r="AF192" s="1192"/>
      <c r="AG192" s="1192"/>
      <c r="AH192" s="2002" t="s">
        <v>2321</v>
      </c>
      <c r="AI192" s="2003"/>
      <c r="AJ192" s="2003"/>
      <c r="AK192" s="2003"/>
      <c r="AL192" s="2003"/>
      <c r="AM192" s="2003"/>
      <c r="AN192" s="2003"/>
      <c r="AO192" s="2003"/>
      <c r="AP192" s="2003"/>
      <c r="AQ192" s="2003"/>
      <c r="AR192" s="2003"/>
      <c r="AS192" s="2003"/>
      <c r="AT192" s="2003"/>
      <c r="AU192" s="2004">
        <f>SUM(AU190:BB191)</f>
        <v>0</v>
      </c>
      <c r="AV192" s="2004"/>
      <c r="AW192" s="2004"/>
      <c r="AX192" s="2004"/>
      <c r="AY192" s="2004"/>
      <c r="AZ192" s="2004"/>
      <c r="BA192" s="2004"/>
      <c r="BB192" s="2004"/>
      <c r="BC192" s="2016"/>
      <c r="BD192" s="2017"/>
      <c r="BE192" s="2018"/>
    </row>
    <row r="193" spans="1:57" ht="15.75" customHeight="1" thickBot="1">
      <c r="A193" s="1192"/>
      <c r="B193" s="1192"/>
      <c r="C193" s="1991" t="s">
        <v>300</v>
      </c>
      <c r="D193" s="1992"/>
      <c r="E193" s="1993" t="s">
        <v>2320</v>
      </c>
      <c r="F193" s="1993"/>
      <c r="G193" s="1993"/>
      <c r="H193" s="1993"/>
      <c r="I193" s="1993"/>
      <c r="J193" s="1993"/>
      <c r="K193" s="1993"/>
      <c r="L193" s="1993"/>
      <c r="M193" s="1993"/>
      <c r="N193" s="1994">
        <v>0</v>
      </c>
      <c r="O193" s="1994"/>
      <c r="P193" s="1994"/>
      <c r="Q193" s="1994"/>
      <c r="R193" s="1994"/>
      <c r="S193" s="1994"/>
      <c r="T193" s="1994"/>
      <c r="U193" s="1995"/>
      <c r="V193" s="1995"/>
      <c r="W193" s="1995"/>
      <c r="X193" s="1995"/>
      <c r="Y193" s="1995"/>
      <c r="Z193" s="1995"/>
      <c r="AA193" s="1995"/>
      <c r="AB193" s="1995"/>
      <c r="AC193" s="1995"/>
      <c r="AD193" s="1995"/>
      <c r="AE193" s="199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7"/>
      <c r="BD193" s="1998"/>
      <c r="BE193" s="1999"/>
    </row>
    <row r="194" spans="1:57" ht="15.75" customHeight="1" thickBot="1">
      <c r="A194" s="1192"/>
      <c r="B194" s="1192"/>
      <c r="C194" s="1979" t="s">
        <v>300</v>
      </c>
      <c r="D194" s="1980"/>
      <c r="E194" s="1981" t="s">
        <v>2320</v>
      </c>
      <c r="F194" s="1981"/>
      <c r="G194" s="1981"/>
      <c r="H194" s="1981"/>
      <c r="I194" s="1981"/>
      <c r="J194" s="1981"/>
      <c r="K194" s="1981"/>
      <c r="L194" s="1981"/>
      <c r="M194" s="1982"/>
      <c r="N194" s="1983">
        <v>0</v>
      </c>
      <c r="O194" s="1983"/>
      <c r="P194" s="1983"/>
      <c r="Q194" s="1983"/>
      <c r="R194" s="1983"/>
      <c r="S194" s="1983"/>
      <c r="T194" s="1984"/>
      <c r="U194" s="1985"/>
      <c r="V194" s="1986"/>
      <c r="W194" s="1986"/>
      <c r="X194" s="1986"/>
      <c r="Y194" s="1986"/>
      <c r="Z194" s="1986"/>
      <c r="AA194" s="1986"/>
      <c r="AB194" s="1986"/>
      <c r="AC194" s="1986"/>
      <c r="AD194" s="1986"/>
      <c r="AE194" s="1987"/>
      <c r="AF194" s="1192"/>
      <c r="AG194" s="1192"/>
      <c r="AH194" s="1988" t="s">
        <v>2319</v>
      </c>
      <c r="AI194" s="1989"/>
      <c r="AJ194" s="1989"/>
      <c r="AK194" s="1989"/>
      <c r="AL194" s="1989"/>
      <c r="AM194" s="1989"/>
      <c r="AN194" s="1989"/>
      <c r="AO194" s="1989"/>
      <c r="AP194" s="1989"/>
      <c r="AQ194" s="1989"/>
      <c r="AR194" s="1989"/>
      <c r="AS194" s="1989"/>
      <c r="AT194" s="1989"/>
      <c r="AU194" s="1990"/>
      <c r="AV194" s="1990"/>
      <c r="AW194" s="1990"/>
      <c r="AX194" s="1990"/>
      <c r="AY194" s="1990"/>
      <c r="AZ194" s="1990"/>
      <c r="BA194" s="1990"/>
      <c r="BB194" s="1990"/>
      <c r="BC194" s="1173"/>
      <c r="BD194" s="1173"/>
      <c r="BE194" s="1236"/>
    </row>
    <row r="195" spans="1:57" ht="15.75" customHeight="1">
      <c r="A195" s="1192"/>
      <c r="B195" s="1192"/>
      <c r="C195" s="1962" t="s">
        <v>2318</v>
      </c>
      <c r="D195" s="1963"/>
      <c r="E195" s="1963"/>
      <c r="F195" s="1963"/>
      <c r="G195" s="1963"/>
      <c r="H195" s="1963"/>
      <c r="I195" s="1963"/>
      <c r="J195" s="1963"/>
      <c r="K195" s="1963"/>
      <c r="L195" s="1963"/>
      <c r="M195" s="1963"/>
      <c r="N195" s="1964">
        <f>SUM(N187:T194)</f>
        <v>3814504</v>
      </c>
      <c r="O195" s="1964"/>
      <c r="P195" s="1964"/>
      <c r="Q195" s="1964"/>
      <c r="R195" s="1964"/>
      <c r="S195" s="1964"/>
      <c r="T195" s="1965"/>
      <c r="U195" s="1192"/>
      <c r="V195" s="1192"/>
      <c r="W195" s="1192"/>
      <c r="X195" s="1192"/>
      <c r="Y195" s="1192"/>
      <c r="Z195" s="1192"/>
      <c r="AA195" s="1192"/>
      <c r="AB195" s="1192"/>
      <c r="AC195" s="1192"/>
      <c r="AD195" s="1192"/>
      <c r="AE195" s="1192"/>
      <c r="AF195" s="1192"/>
      <c r="AG195" s="1192"/>
      <c r="AH195" s="1966" t="s">
        <v>2317</v>
      </c>
      <c r="AI195" s="1967"/>
      <c r="AJ195" s="1967"/>
      <c r="AK195" s="1967"/>
      <c r="AL195" s="1967"/>
      <c r="AM195" s="1967"/>
      <c r="AN195" s="1967"/>
      <c r="AO195" s="1967"/>
      <c r="AP195" s="1967"/>
      <c r="AQ195" s="1967"/>
      <c r="AR195" s="1967"/>
      <c r="AS195" s="1967"/>
      <c r="AT195" s="1967"/>
      <c r="AU195" s="1967"/>
      <c r="AV195" s="1967"/>
      <c r="AW195" s="1967"/>
      <c r="AX195" s="1967"/>
      <c r="AY195" s="1967"/>
      <c r="AZ195" s="1967"/>
      <c r="BA195" s="1967"/>
      <c r="BB195" s="1967"/>
      <c r="BC195" s="1967"/>
      <c r="BD195" s="1967"/>
      <c r="BE195" s="1968"/>
    </row>
    <row r="196" spans="1:57" ht="15.75" customHeight="1" thickBot="1">
      <c r="A196" s="1192"/>
      <c r="B196" s="1192"/>
      <c r="C196" s="1972" t="s">
        <v>2316</v>
      </c>
      <c r="D196" s="1973"/>
      <c r="E196" s="1973"/>
      <c r="F196" s="1973"/>
      <c r="G196" s="1973"/>
      <c r="H196" s="1973"/>
      <c r="I196" s="1973"/>
      <c r="J196" s="1973"/>
      <c r="K196" s="1973"/>
      <c r="L196" s="1973"/>
      <c r="M196" s="1973"/>
      <c r="N196" s="1974">
        <f>(N185-N195)/J29</f>
        <v>611448.203125</v>
      </c>
      <c r="O196" s="1975"/>
      <c r="P196" s="1975"/>
      <c r="Q196" s="1975"/>
      <c r="R196" s="1975"/>
      <c r="S196" s="1975"/>
      <c r="T196" s="1976"/>
      <c r="U196" s="1197"/>
      <c r="V196" s="1192"/>
      <c r="W196" s="1192"/>
      <c r="X196" s="1192"/>
      <c r="Y196" s="1192"/>
      <c r="Z196" s="1192"/>
      <c r="AA196" s="1192"/>
      <c r="AB196" s="1192"/>
      <c r="AC196" s="1192"/>
      <c r="AD196" s="1192"/>
      <c r="AE196" s="1192"/>
      <c r="AF196" s="1192"/>
      <c r="AG196" s="1192"/>
      <c r="AH196" s="1969"/>
      <c r="AI196" s="1970"/>
      <c r="AJ196" s="1970"/>
      <c r="AK196" s="1970"/>
      <c r="AL196" s="1970"/>
      <c r="AM196" s="1970"/>
      <c r="AN196" s="1970"/>
      <c r="AO196" s="1970"/>
      <c r="AP196" s="1970"/>
      <c r="AQ196" s="1970"/>
      <c r="AR196" s="1970"/>
      <c r="AS196" s="1970"/>
      <c r="AT196" s="1970"/>
      <c r="AU196" s="1970"/>
      <c r="AV196" s="1970"/>
      <c r="AW196" s="1970"/>
      <c r="AX196" s="1970"/>
      <c r="AY196" s="1970"/>
      <c r="AZ196" s="1970"/>
      <c r="BA196" s="1970"/>
      <c r="BB196" s="1970"/>
      <c r="BC196" s="1970"/>
      <c r="BD196" s="1970"/>
      <c r="BE196" s="1971"/>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7"/>
      <c r="AI197" s="1977"/>
      <c r="AJ197" s="1977"/>
      <c r="AK197" s="1977"/>
      <c r="AL197" s="1977"/>
      <c r="AM197" s="1977"/>
      <c r="AN197" s="1977"/>
      <c r="AO197" s="1977"/>
      <c r="AP197" s="1977"/>
      <c r="AQ197" s="1977"/>
      <c r="AR197" s="1977"/>
      <c r="AS197" s="1978"/>
      <c r="AT197" s="1978"/>
      <c r="AU197" s="1978"/>
      <c r="AV197" s="1978"/>
      <c r="AW197" s="1978"/>
      <c r="AX197" s="1978"/>
      <c r="AY197" s="1978"/>
      <c r="AZ197" s="1978"/>
      <c r="BA197" s="1978"/>
      <c r="BB197" s="1978"/>
      <c r="BC197" s="1978"/>
      <c r="BD197" s="1978"/>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7" t="s">
        <v>2315</v>
      </c>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1958"/>
      <c r="AD199" s="1958"/>
      <c r="AE199" s="1959"/>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60" t="s">
        <v>2314</v>
      </c>
      <c r="D200" s="1960"/>
      <c r="E200" s="1960"/>
      <c r="F200" s="1960"/>
      <c r="G200" s="1960"/>
      <c r="H200" s="1960"/>
      <c r="I200" s="1960"/>
      <c r="J200" s="1960"/>
      <c r="K200" s="1960"/>
      <c r="L200" s="1960"/>
      <c r="M200" s="1960"/>
      <c r="N200" s="1960"/>
      <c r="O200" s="1961" t="s">
        <v>2313</v>
      </c>
      <c r="P200" s="1961"/>
      <c r="Q200" s="1961"/>
      <c r="R200" s="1961"/>
      <c r="S200" s="1961"/>
      <c r="T200" s="1961"/>
      <c r="U200" s="1961"/>
      <c r="V200" s="1961"/>
      <c r="W200" s="1961"/>
      <c r="X200" s="1961" t="s">
        <v>2312</v>
      </c>
      <c r="Y200" s="1961"/>
      <c r="Z200" s="1961"/>
      <c r="AA200" s="1961"/>
      <c r="AB200" s="1961"/>
      <c r="AC200" s="1961"/>
      <c r="AD200" s="1961"/>
      <c r="AE200" s="1961"/>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52" t="s">
        <v>2311</v>
      </c>
      <c r="D201" s="1952"/>
      <c r="E201" s="1952"/>
      <c r="F201" s="1952"/>
      <c r="G201" s="1952"/>
      <c r="H201" s="1952"/>
      <c r="I201" s="1952"/>
      <c r="J201" s="1952"/>
      <c r="K201" s="1952"/>
      <c r="L201" s="1952"/>
      <c r="M201" s="1952"/>
      <c r="N201" s="1952"/>
      <c r="O201" s="1953" t="s">
        <v>2310</v>
      </c>
      <c r="P201" s="1953"/>
      <c r="Q201" s="1953"/>
      <c r="R201" s="1953"/>
      <c r="S201" s="1953"/>
      <c r="T201" s="1953"/>
      <c r="U201" s="1953"/>
      <c r="V201" s="1953"/>
      <c r="W201" s="1953"/>
      <c r="X201" s="1954">
        <v>0.03</v>
      </c>
      <c r="Y201" s="1954"/>
      <c r="Z201" s="1954"/>
      <c r="AA201" s="1954"/>
      <c r="AB201" s="1954"/>
      <c r="AC201" s="1954"/>
      <c r="AD201" s="1954"/>
      <c r="AE201" s="1954"/>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52" t="s">
        <v>854</v>
      </c>
      <c r="D202" s="1952"/>
      <c r="E202" s="1952"/>
      <c r="F202" s="1952"/>
      <c r="G202" s="1952"/>
      <c r="H202" s="1952"/>
      <c r="I202" s="1952"/>
      <c r="J202" s="1952"/>
      <c r="K202" s="1952"/>
      <c r="L202" s="1952"/>
      <c r="M202" s="1952"/>
      <c r="N202" s="1952"/>
      <c r="O202" s="1953" t="s">
        <v>2310</v>
      </c>
      <c r="P202" s="1953"/>
      <c r="Q202" s="1953"/>
      <c r="R202" s="1953"/>
      <c r="S202" s="1953"/>
      <c r="T202" s="1953"/>
      <c r="U202" s="1953"/>
      <c r="V202" s="1953"/>
      <c r="W202" s="1953"/>
      <c r="X202" s="1954">
        <v>0.03</v>
      </c>
      <c r="Y202" s="1954"/>
      <c r="Z202" s="1954"/>
      <c r="AA202" s="1954"/>
      <c r="AB202" s="1954"/>
      <c r="AC202" s="1954"/>
      <c r="AD202" s="1954"/>
      <c r="AE202" s="1954"/>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52" t="s">
        <v>2309</v>
      </c>
      <c r="D203" s="1952"/>
      <c r="E203" s="1952"/>
      <c r="F203" s="1952"/>
      <c r="G203" s="1952"/>
      <c r="H203" s="1952"/>
      <c r="I203" s="1952"/>
      <c r="J203" s="1952"/>
      <c r="K203" s="1952"/>
      <c r="L203" s="1952"/>
      <c r="M203" s="1952"/>
      <c r="N203" s="1952"/>
      <c r="O203" s="1955">
        <f>SUM(O201:W202)</f>
        <v>0</v>
      </c>
      <c r="P203" s="1956"/>
      <c r="Q203" s="1956"/>
      <c r="R203" s="1956"/>
      <c r="S203" s="1956"/>
      <c r="T203" s="1956"/>
      <c r="U203" s="1956"/>
      <c r="V203" s="1956"/>
      <c r="W203" s="1956"/>
      <c r="X203" s="1956" t="s">
        <v>2308</v>
      </c>
      <c r="Y203" s="1956"/>
      <c r="Z203" s="1956"/>
      <c r="AA203" s="1956"/>
      <c r="AB203" s="1956"/>
      <c r="AC203" s="1956"/>
      <c r="AD203" s="1956"/>
      <c r="AE203" s="1956"/>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6" t="s">
        <v>2307</v>
      </c>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7" t="s">
        <v>2306</v>
      </c>
      <c r="D206" s="1928"/>
      <c r="E206" s="1928"/>
      <c r="F206" s="1928"/>
      <c r="G206" s="1928"/>
      <c r="H206" s="1928"/>
      <c r="I206" s="1928"/>
      <c r="J206" s="1928"/>
      <c r="K206" s="1928"/>
      <c r="L206" s="1928"/>
      <c r="M206" s="1928"/>
      <c r="N206" s="1928"/>
      <c r="O206" s="1928"/>
      <c r="P206" s="1928"/>
      <c r="Q206" s="1928"/>
      <c r="R206" s="1928"/>
      <c r="S206" s="1928"/>
      <c r="T206" s="1928"/>
      <c r="U206" s="1928"/>
      <c r="V206" s="1928"/>
      <c r="W206" s="1928"/>
      <c r="X206" s="1928"/>
      <c r="Y206" s="1928"/>
      <c r="Z206" s="1928"/>
      <c r="AA206" s="1928"/>
      <c r="AB206" s="1928"/>
      <c r="AC206" s="1928"/>
      <c r="AD206" s="1928"/>
      <c r="AE206" s="1928"/>
      <c r="AF206" s="1928"/>
      <c r="AG206" s="1928"/>
      <c r="AH206" s="1928"/>
      <c r="AI206" s="1928"/>
      <c r="AJ206" s="1928"/>
      <c r="AK206" s="1929"/>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30" t="s">
        <v>2305</v>
      </c>
      <c r="D207" s="1931"/>
      <c r="E207" s="1931"/>
      <c r="F207" s="1932"/>
      <c r="G207" s="1936" t="s">
        <v>2304</v>
      </c>
      <c r="H207" s="1931"/>
      <c r="I207" s="1931"/>
      <c r="J207" s="1931"/>
      <c r="K207" s="1931"/>
      <c r="L207" s="1931"/>
      <c r="M207" s="1931"/>
      <c r="N207" s="1931"/>
      <c r="O207" s="1932"/>
      <c r="P207" s="1938" t="s">
        <v>2303</v>
      </c>
      <c r="Q207" s="1939"/>
      <c r="R207" s="1939"/>
      <c r="S207" s="1939"/>
      <c r="T207" s="1940"/>
      <c r="U207" s="1944" t="s">
        <v>2302</v>
      </c>
      <c r="V207" s="1945"/>
      <c r="W207" s="1945"/>
      <c r="X207" s="1946"/>
      <c r="Y207" s="1944" t="s">
        <v>2301</v>
      </c>
      <c r="Z207" s="1945"/>
      <c r="AA207" s="1945"/>
      <c r="AB207" s="1946"/>
      <c r="AC207" s="1944" t="s">
        <v>2300</v>
      </c>
      <c r="AD207" s="1945"/>
      <c r="AE207" s="1945"/>
      <c r="AF207" s="1946"/>
      <c r="AG207" s="1936" t="s">
        <v>2299</v>
      </c>
      <c r="AH207" s="1931"/>
      <c r="AI207" s="1931"/>
      <c r="AJ207" s="1931"/>
      <c r="AK207" s="1950"/>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3"/>
      <c r="D208" s="1934"/>
      <c r="E208" s="1934"/>
      <c r="F208" s="1935"/>
      <c r="G208" s="1937"/>
      <c r="H208" s="1934"/>
      <c r="I208" s="1934"/>
      <c r="J208" s="1934"/>
      <c r="K208" s="1934"/>
      <c r="L208" s="1934"/>
      <c r="M208" s="1934"/>
      <c r="N208" s="1934"/>
      <c r="O208" s="1935"/>
      <c r="P208" s="1941"/>
      <c r="Q208" s="1942"/>
      <c r="R208" s="1942"/>
      <c r="S208" s="1942"/>
      <c r="T208" s="1943"/>
      <c r="U208" s="1947"/>
      <c r="V208" s="1948"/>
      <c r="W208" s="1948"/>
      <c r="X208" s="1949"/>
      <c r="Y208" s="1947"/>
      <c r="Z208" s="1948"/>
      <c r="AA208" s="1948"/>
      <c r="AB208" s="1949"/>
      <c r="AC208" s="1947"/>
      <c r="AD208" s="1948"/>
      <c r="AE208" s="1948"/>
      <c r="AF208" s="1949"/>
      <c r="AG208" s="1937"/>
      <c r="AH208" s="1934"/>
      <c r="AI208" s="1934"/>
      <c r="AJ208" s="1934"/>
      <c r="AK208" s="1951"/>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9">
        <v>1</v>
      </c>
      <c r="D209" s="1920"/>
      <c r="E209" s="1920"/>
      <c r="F209" s="1920"/>
      <c r="G209" s="1921" t="s">
        <v>1885</v>
      </c>
      <c r="H209" s="1921"/>
      <c r="I209" s="1921"/>
      <c r="J209" s="1921"/>
      <c r="K209" s="1921"/>
      <c r="L209" s="1921"/>
      <c r="M209" s="1921"/>
      <c r="N209" s="1921"/>
      <c r="O209" s="1921"/>
      <c r="P209" s="1922"/>
      <c r="Q209" s="1925"/>
      <c r="R209" s="1925"/>
      <c r="S209" s="1925"/>
      <c r="T209" s="1925"/>
      <c r="U209" s="1923" t="s">
        <v>1885</v>
      </c>
      <c r="V209" s="1923"/>
      <c r="W209" s="1923"/>
      <c r="X209" s="1923"/>
      <c r="Y209" s="1923" t="s">
        <v>1885</v>
      </c>
      <c r="Z209" s="1923"/>
      <c r="AA209" s="1923"/>
      <c r="AB209" s="1923"/>
      <c r="AC209" s="1924" t="s">
        <v>1885</v>
      </c>
      <c r="AD209" s="1924"/>
      <c r="AE209" s="1924"/>
      <c r="AF209" s="1924"/>
      <c r="AG209" s="1908"/>
      <c r="AH209" s="1909"/>
      <c r="AI209" s="1909"/>
      <c r="AJ209" s="1909"/>
      <c r="AK209" s="1910"/>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9">
        <v>2</v>
      </c>
      <c r="D210" s="1920"/>
      <c r="E210" s="1920"/>
      <c r="F210" s="1920"/>
      <c r="G210" s="1921" t="s">
        <v>1885</v>
      </c>
      <c r="H210" s="1921"/>
      <c r="I210" s="1921"/>
      <c r="J210" s="1921"/>
      <c r="K210" s="1921"/>
      <c r="L210" s="1921"/>
      <c r="M210" s="1921"/>
      <c r="N210" s="1921"/>
      <c r="O210" s="1921"/>
      <c r="P210" s="1922"/>
      <c r="Q210" s="1922"/>
      <c r="R210" s="1922"/>
      <c r="S210" s="1922"/>
      <c r="T210" s="1922"/>
      <c r="U210" s="1923" t="s">
        <v>1885</v>
      </c>
      <c r="V210" s="1923"/>
      <c r="W210" s="1923"/>
      <c r="X210" s="1923"/>
      <c r="Y210" s="1923" t="s">
        <v>1885</v>
      </c>
      <c r="Z210" s="1923"/>
      <c r="AA210" s="1923"/>
      <c r="AB210" s="1923"/>
      <c r="AC210" s="1924" t="s">
        <v>1885</v>
      </c>
      <c r="AD210" s="1924"/>
      <c r="AE210" s="1924"/>
      <c r="AF210" s="1924"/>
      <c r="AG210" s="1908"/>
      <c r="AH210" s="1909"/>
      <c r="AI210" s="1909"/>
      <c r="AJ210" s="1909"/>
      <c r="AK210" s="1910"/>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9">
        <v>3</v>
      </c>
      <c r="D211" s="1920"/>
      <c r="E211" s="1920"/>
      <c r="F211" s="1920"/>
      <c r="G211" s="1921" t="s">
        <v>1885</v>
      </c>
      <c r="H211" s="1921"/>
      <c r="I211" s="1921"/>
      <c r="J211" s="1921"/>
      <c r="K211" s="1921"/>
      <c r="L211" s="1921"/>
      <c r="M211" s="1921"/>
      <c r="N211" s="1921"/>
      <c r="O211" s="1921"/>
      <c r="P211" s="1922"/>
      <c r="Q211" s="1922"/>
      <c r="R211" s="1922"/>
      <c r="S211" s="1922"/>
      <c r="T211" s="1922"/>
      <c r="U211" s="1923" t="s">
        <v>1885</v>
      </c>
      <c r="V211" s="1923"/>
      <c r="W211" s="1923"/>
      <c r="X211" s="1923"/>
      <c r="Y211" s="1923" t="s">
        <v>1885</v>
      </c>
      <c r="Z211" s="1923"/>
      <c r="AA211" s="1923"/>
      <c r="AB211" s="1923"/>
      <c r="AC211" s="1924" t="s">
        <v>1885</v>
      </c>
      <c r="AD211" s="1924"/>
      <c r="AE211" s="1924"/>
      <c r="AF211" s="1924"/>
      <c r="AG211" s="1908"/>
      <c r="AH211" s="1909"/>
      <c r="AI211" s="1909"/>
      <c r="AJ211" s="1909"/>
      <c r="AK211" s="1910"/>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9">
        <v>4</v>
      </c>
      <c r="D212" s="1920"/>
      <c r="E212" s="1920"/>
      <c r="F212" s="1920"/>
      <c r="G212" s="1921" t="s">
        <v>1885</v>
      </c>
      <c r="H212" s="1921"/>
      <c r="I212" s="1921"/>
      <c r="J212" s="1921"/>
      <c r="K212" s="1921"/>
      <c r="L212" s="1921"/>
      <c r="M212" s="1921"/>
      <c r="N212" s="1921"/>
      <c r="O212" s="1921"/>
      <c r="P212" s="1922"/>
      <c r="Q212" s="1922"/>
      <c r="R212" s="1922"/>
      <c r="S212" s="1922"/>
      <c r="T212" s="1922"/>
      <c r="U212" s="1923" t="s">
        <v>1885</v>
      </c>
      <c r="V212" s="1923"/>
      <c r="W212" s="1923"/>
      <c r="X212" s="1923"/>
      <c r="Y212" s="1923" t="s">
        <v>1885</v>
      </c>
      <c r="Z212" s="1923"/>
      <c r="AA212" s="1923"/>
      <c r="AB212" s="1923"/>
      <c r="AC212" s="1924" t="s">
        <v>1885</v>
      </c>
      <c r="AD212" s="1924"/>
      <c r="AE212" s="1924"/>
      <c r="AF212" s="1924"/>
      <c r="AG212" s="1908"/>
      <c r="AH212" s="1909"/>
      <c r="AI212" s="1909"/>
      <c r="AJ212" s="1909"/>
      <c r="AK212" s="1910"/>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9">
        <v>5</v>
      </c>
      <c r="D213" s="1920"/>
      <c r="E213" s="1920"/>
      <c r="F213" s="1920"/>
      <c r="G213" s="1921" t="s">
        <v>1885</v>
      </c>
      <c r="H213" s="1921"/>
      <c r="I213" s="1921"/>
      <c r="J213" s="1921"/>
      <c r="K213" s="1921"/>
      <c r="L213" s="1921"/>
      <c r="M213" s="1921"/>
      <c r="N213" s="1921"/>
      <c r="O213" s="1921"/>
      <c r="P213" s="1922"/>
      <c r="Q213" s="1922"/>
      <c r="R213" s="1922"/>
      <c r="S213" s="1922"/>
      <c r="T213" s="1922"/>
      <c r="U213" s="1923" t="s">
        <v>1885</v>
      </c>
      <c r="V213" s="1923"/>
      <c r="W213" s="1923"/>
      <c r="X213" s="1923"/>
      <c r="Y213" s="1923" t="s">
        <v>1885</v>
      </c>
      <c r="Z213" s="1923"/>
      <c r="AA213" s="1923"/>
      <c r="AB213" s="1923"/>
      <c r="AC213" s="1924" t="s">
        <v>1885</v>
      </c>
      <c r="AD213" s="1924"/>
      <c r="AE213" s="1924"/>
      <c r="AF213" s="1924"/>
      <c r="AG213" s="1908"/>
      <c r="AH213" s="1909"/>
      <c r="AI213" s="1909"/>
      <c r="AJ213" s="1909"/>
      <c r="AK213" s="1910"/>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9">
        <v>6</v>
      </c>
      <c r="D214" s="1920"/>
      <c r="E214" s="1920"/>
      <c r="F214" s="1920"/>
      <c r="G214" s="1921" t="s">
        <v>1885</v>
      </c>
      <c r="H214" s="1921"/>
      <c r="I214" s="1921"/>
      <c r="J214" s="1921"/>
      <c r="K214" s="1921"/>
      <c r="L214" s="1921"/>
      <c r="M214" s="1921"/>
      <c r="N214" s="1921"/>
      <c r="O214" s="1921"/>
      <c r="P214" s="1922"/>
      <c r="Q214" s="1922"/>
      <c r="R214" s="1922"/>
      <c r="S214" s="1922"/>
      <c r="T214" s="1922"/>
      <c r="U214" s="1923"/>
      <c r="V214" s="1923"/>
      <c r="W214" s="1923"/>
      <c r="X214" s="1923"/>
      <c r="Y214" s="1923"/>
      <c r="Z214" s="1923"/>
      <c r="AA214" s="1923"/>
      <c r="AB214" s="1923"/>
      <c r="AC214" s="1924" t="s">
        <v>1885</v>
      </c>
      <c r="AD214" s="1924"/>
      <c r="AE214" s="1924"/>
      <c r="AF214" s="1924"/>
      <c r="AG214" s="1908"/>
      <c r="AH214" s="1909"/>
      <c r="AI214" s="1909"/>
      <c r="AJ214" s="1909"/>
      <c r="AK214" s="1910"/>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9">
        <v>7</v>
      </c>
      <c r="D215" s="1920"/>
      <c r="E215" s="1920"/>
      <c r="F215" s="1920"/>
      <c r="G215" s="1921"/>
      <c r="H215" s="1921"/>
      <c r="I215" s="1921"/>
      <c r="J215" s="1921"/>
      <c r="K215" s="1921"/>
      <c r="L215" s="1921"/>
      <c r="M215" s="1921"/>
      <c r="N215" s="1921"/>
      <c r="O215" s="1921"/>
      <c r="P215" s="1922"/>
      <c r="Q215" s="1922"/>
      <c r="R215" s="1922"/>
      <c r="S215" s="1922"/>
      <c r="T215" s="1922"/>
      <c r="U215" s="1923"/>
      <c r="V215" s="1923"/>
      <c r="W215" s="1923"/>
      <c r="X215" s="1923"/>
      <c r="Y215" s="1923"/>
      <c r="Z215" s="1923"/>
      <c r="AA215" s="1923"/>
      <c r="AB215" s="1923"/>
      <c r="AC215" s="1924" t="s">
        <v>1885</v>
      </c>
      <c r="AD215" s="1924"/>
      <c r="AE215" s="1924"/>
      <c r="AF215" s="1924"/>
      <c r="AG215" s="1908"/>
      <c r="AH215" s="1909"/>
      <c r="AI215" s="1909"/>
      <c r="AJ215" s="1909"/>
      <c r="AK215" s="1910"/>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11" t="s">
        <v>2298</v>
      </c>
      <c r="D216" s="1912"/>
      <c r="E216" s="1912"/>
      <c r="F216" s="1912"/>
      <c r="G216" s="1912"/>
      <c r="H216" s="1912"/>
      <c r="I216" s="1912"/>
      <c r="J216" s="1912"/>
      <c r="K216" s="1912"/>
      <c r="L216" s="1912"/>
      <c r="M216" s="1912"/>
      <c r="N216" s="1912"/>
      <c r="O216" s="1912"/>
      <c r="P216" s="1913"/>
      <c r="Q216" s="1913"/>
      <c r="R216" s="1913"/>
      <c r="S216" s="1913"/>
      <c r="T216" s="1913"/>
      <c r="U216" s="1914">
        <v>0</v>
      </c>
      <c r="V216" s="1914"/>
      <c r="W216" s="1914"/>
      <c r="X216" s="1914"/>
      <c r="Y216" s="1914">
        <v>0</v>
      </c>
      <c r="Z216" s="1914"/>
      <c r="AA216" s="1914"/>
      <c r="AB216" s="1914"/>
      <c r="AC216" s="1915">
        <v>0</v>
      </c>
      <c r="AD216" s="1915"/>
      <c r="AE216" s="1915"/>
      <c r="AF216" s="1915"/>
      <c r="AG216" s="1916"/>
      <c r="AH216" s="1917"/>
      <c r="AI216" s="1917"/>
      <c r="AJ216" s="1917"/>
      <c r="AK216" s="1918"/>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5" t="s">
        <v>2296</v>
      </c>
      <c r="C221" s="1896"/>
      <c r="D221" s="1896"/>
      <c r="E221" s="1896"/>
      <c r="F221" s="1896"/>
      <c r="G221" s="1896"/>
      <c r="H221" s="1896"/>
      <c r="I221" s="1896"/>
      <c r="J221" s="1896"/>
      <c r="K221" s="1896"/>
      <c r="L221" s="1896"/>
      <c r="M221" s="1896"/>
      <c r="N221" s="1896"/>
      <c r="O221" s="1896"/>
      <c r="P221" s="1896"/>
      <c r="Q221" s="1896"/>
      <c r="R221" s="1896"/>
      <c r="S221" s="1896"/>
      <c r="T221" s="1896"/>
      <c r="U221" s="1896"/>
      <c r="V221" s="1896"/>
      <c r="W221" s="1896"/>
      <c r="X221" s="1896"/>
      <c r="Y221" s="1896"/>
      <c r="Z221" s="1896"/>
      <c r="AA221" s="1896"/>
      <c r="AB221" s="1896"/>
      <c r="AC221" s="1896"/>
      <c r="AD221" s="1896"/>
      <c r="AE221" s="1896"/>
      <c r="AF221" s="1896"/>
      <c r="AG221" s="1896"/>
      <c r="AH221" s="1896"/>
      <c r="AI221" s="1896"/>
      <c r="AJ221" s="1896"/>
      <c r="AK221" s="1896"/>
      <c r="AL221" s="1896"/>
      <c r="AM221" s="1896"/>
      <c r="AN221" s="1896"/>
      <c r="AO221" s="1896"/>
      <c r="AP221" s="1896"/>
      <c r="AQ221" s="1896"/>
      <c r="AR221" s="1896"/>
      <c r="AS221" s="1896"/>
      <c r="AT221" s="1896"/>
      <c r="AU221" s="1896"/>
      <c r="AV221" s="1896"/>
      <c r="AW221" s="1896"/>
      <c r="AX221" s="1896"/>
      <c r="AY221" s="1896"/>
      <c r="AZ221" s="1896"/>
      <c r="BA221" s="1896"/>
      <c r="BB221" s="1896"/>
      <c r="BC221" s="1896"/>
      <c r="BD221" s="1897"/>
      <c r="BE221" s="1196"/>
    </row>
    <row r="222" spans="1:57" ht="15.75" customHeight="1">
      <c r="A222" s="1192"/>
      <c r="B222" s="1898"/>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1899"/>
      <c r="AN222" s="1899"/>
      <c r="AO222" s="1899"/>
      <c r="AP222" s="1899"/>
      <c r="AQ222" s="1899"/>
      <c r="AR222" s="1899"/>
      <c r="AS222" s="1899"/>
      <c r="AT222" s="1899"/>
      <c r="AU222" s="1899"/>
      <c r="AV222" s="1899"/>
      <c r="AW222" s="1899"/>
      <c r="AX222" s="1899"/>
      <c r="AY222" s="1899"/>
      <c r="AZ222" s="1899"/>
      <c r="BA222" s="1899"/>
      <c r="BB222" s="1899"/>
      <c r="BC222" s="1899"/>
      <c r="BD222" s="1900"/>
      <c r="BE222" s="1196"/>
    </row>
    <row r="223" spans="1:57" ht="15.75" customHeight="1">
      <c r="A223" s="1192"/>
      <c r="B223" s="1901" t="s">
        <v>2295</v>
      </c>
      <c r="C223" s="1902"/>
      <c r="D223" s="1902"/>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3"/>
      <c r="BE223" s="1196"/>
    </row>
    <row r="224" spans="1:57" ht="15.75" customHeight="1">
      <c r="A224" s="1192"/>
      <c r="B224" s="1901" t="s">
        <v>2294</v>
      </c>
      <c r="C224" s="1902"/>
      <c r="D224" s="1902"/>
      <c r="E224" s="1902"/>
      <c r="F224" s="1902"/>
      <c r="G224" s="1902"/>
      <c r="H224" s="1902"/>
      <c r="I224" s="1902"/>
      <c r="J224" s="1902"/>
      <c r="K224" s="1902"/>
      <c r="L224" s="1902"/>
      <c r="M224" s="1902"/>
      <c r="N224" s="1902"/>
      <c r="O224" s="1902"/>
      <c r="P224" s="1902"/>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4" t="s">
        <v>2293</v>
      </c>
      <c r="C226" s="1905"/>
      <c r="D226" s="1905"/>
      <c r="E226" s="1905"/>
      <c r="F226" s="1905"/>
      <c r="G226" s="1905"/>
      <c r="H226" s="1905"/>
      <c r="I226" s="1905"/>
      <c r="J226" s="1905"/>
      <c r="K226" s="1905"/>
      <c r="L226" s="1905"/>
      <c r="M226" s="1905"/>
      <c r="N226" s="1905"/>
      <c r="O226" s="1905"/>
      <c r="P226" s="1905"/>
      <c r="Q226" s="1905"/>
      <c r="R226" s="1905"/>
      <c r="S226" s="1905"/>
      <c r="T226" s="1905"/>
      <c r="U226" s="1905"/>
      <c r="V226" s="1905"/>
      <c r="W226" s="1905"/>
      <c r="X226" s="1905"/>
      <c r="Y226" s="1905"/>
      <c r="Z226" s="1905"/>
      <c r="AA226" s="1905"/>
      <c r="AB226" s="1905"/>
      <c r="AC226" s="1905"/>
      <c r="AD226" s="1905"/>
      <c r="AE226" s="1905"/>
      <c r="AF226" s="1905"/>
      <c r="AG226" s="1905"/>
      <c r="AH226" s="1905"/>
      <c r="AI226" s="1905"/>
      <c r="AJ226" s="1905"/>
      <c r="AK226" s="1905"/>
      <c r="AL226" s="1905"/>
      <c r="AM226" s="1905"/>
      <c r="AN226" s="1905"/>
      <c r="AO226" s="1905"/>
      <c r="AP226" s="1905"/>
      <c r="AQ226" s="1905"/>
      <c r="AR226" s="1905"/>
      <c r="AS226" s="1905"/>
      <c r="AT226" s="1905"/>
      <c r="AU226" s="1905"/>
      <c r="AV226" s="1905"/>
      <c r="AW226" s="1905"/>
      <c r="AX226" s="1905"/>
      <c r="AY226" s="1905"/>
      <c r="AZ226" s="1905"/>
      <c r="BA226" s="1905"/>
      <c r="BB226" s="1905"/>
      <c r="BC226" s="1905"/>
      <c r="BD226" s="190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7" t="s">
        <v>2291</v>
      </c>
      <c r="I230" s="1907"/>
      <c r="J230" s="1907"/>
      <c r="K230" s="1907"/>
      <c r="L230" s="1907"/>
      <c r="M230" s="1907"/>
      <c r="N230" s="1907"/>
      <c r="O230" s="1907"/>
      <c r="P230" s="1907"/>
      <c r="Q230" s="1907"/>
      <c r="R230" s="1907"/>
      <c r="S230" s="1907"/>
      <c r="T230" s="1907"/>
      <c r="U230" s="1907"/>
      <c r="V230" s="1907"/>
      <c r="W230" s="1907"/>
      <c r="X230" s="1907"/>
      <c r="Y230" s="1907"/>
      <c r="Z230" s="1907"/>
      <c r="AA230" s="1907"/>
      <c r="AB230" s="1907"/>
      <c r="AC230" s="1907"/>
      <c r="AD230" s="1907"/>
      <c r="AE230" s="1907"/>
      <c r="AF230" s="1907"/>
      <c r="AG230" s="1907"/>
      <c r="AH230" s="1907"/>
      <c r="AI230" s="1907"/>
      <c r="AJ230" s="1907"/>
      <c r="AK230" s="1907"/>
      <c r="AL230" s="1907"/>
      <c r="AM230" s="1907"/>
      <c r="AN230" s="1907"/>
      <c r="AO230" s="1907"/>
      <c r="AP230" s="1907"/>
      <c r="AQ230" s="1907"/>
      <c r="AR230" s="1907"/>
      <c r="AS230" s="1907"/>
      <c r="AT230" s="1907"/>
      <c r="AU230" s="1907"/>
      <c r="AV230" s="1907"/>
      <c r="AW230" s="1907"/>
      <c r="AX230" s="1907"/>
      <c r="AY230" s="190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90" t="s">
        <v>2290</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890"/>
      <c r="AX232" s="1890"/>
      <c r="AY232" s="1890"/>
      <c r="AZ232" s="1890"/>
      <c r="BA232" s="1192"/>
      <c r="BB232" s="1192"/>
      <c r="BC232" s="1192"/>
      <c r="BD232" s="1196"/>
      <c r="BE232" s="1196"/>
    </row>
    <row r="233" spans="1:57" ht="15.75" customHeight="1">
      <c r="A233" s="1192"/>
      <c r="B233" s="1191"/>
      <c r="C233" s="1192"/>
      <c r="D233" s="1192"/>
      <c r="E233" s="1192"/>
      <c r="F233" s="1192"/>
      <c r="G233" s="1192"/>
      <c r="H233" s="1890"/>
      <c r="I233" s="1890"/>
      <c r="J233" s="1890"/>
      <c r="K233" s="1890"/>
      <c r="L233" s="1890"/>
      <c r="M233" s="1890"/>
      <c r="N233" s="1890"/>
      <c r="O233" s="1890"/>
      <c r="P233" s="1890"/>
      <c r="Q233" s="1890"/>
      <c r="R233" s="1890"/>
      <c r="S233" s="1890"/>
      <c r="T233" s="1890"/>
      <c r="U233" s="1890"/>
      <c r="V233" s="1890"/>
      <c r="W233" s="1890"/>
      <c r="X233" s="1890"/>
      <c r="Y233" s="1890"/>
      <c r="Z233" s="1890"/>
      <c r="AA233" s="1890"/>
      <c r="AB233" s="1890"/>
      <c r="AC233" s="1890"/>
      <c r="AD233" s="1890"/>
      <c r="AE233" s="1890"/>
      <c r="AF233" s="1890"/>
      <c r="AG233" s="1890"/>
      <c r="AH233" s="1890"/>
      <c r="AI233" s="1890"/>
      <c r="AJ233" s="1890"/>
      <c r="AK233" s="1890"/>
      <c r="AL233" s="1890"/>
      <c r="AM233" s="1890"/>
      <c r="AN233" s="1890"/>
      <c r="AO233" s="1890"/>
      <c r="AP233" s="1890"/>
      <c r="AQ233" s="1890"/>
      <c r="AR233" s="1890"/>
      <c r="AS233" s="1890"/>
      <c r="AT233" s="1890"/>
      <c r="AU233" s="1890"/>
      <c r="AV233" s="1890"/>
      <c r="AW233" s="1890"/>
      <c r="AX233" s="1890"/>
      <c r="AY233" s="1890"/>
      <c r="AZ233" s="1890"/>
      <c r="BA233" s="1192"/>
      <c r="BB233" s="1192"/>
      <c r="BC233" s="1192"/>
      <c r="BD233" s="1196"/>
      <c r="BE233" s="1196"/>
    </row>
    <row r="234" spans="1:57" ht="15.75" customHeight="1">
      <c r="A234" s="1192"/>
      <c r="B234" s="1191"/>
      <c r="C234" s="1192"/>
      <c r="D234" s="1192"/>
      <c r="E234" s="1192"/>
      <c r="F234" s="1192"/>
      <c r="G234" s="1192"/>
      <c r="H234" s="1890"/>
      <c r="I234" s="1890"/>
      <c r="J234" s="1890"/>
      <c r="K234" s="1890"/>
      <c r="L234" s="1890"/>
      <c r="M234" s="1890"/>
      <c r="N234" s="1890"/>
      <c r="O234" s="1890"/>
      <c r="P234" s="1890"/>
      <c r="Q234" s="1890"/>
      <c r="R234" s="1890"/>
      <c r="S234" s="1890"/>
      <c r="T234" s="1890"/>
      <c r="U234" s="1890"/>
      <c r="V234" s="1890"/>
      <c r="W234" s="1890"/>
      <c r="X234" s="1890"/>
      <c r="Y234" s="1890"/>
      <c r="Z234" s="1890"/>
      <c r="AA234" s="1890"/>
      <c r="AB234" s="1890"/>
      <c r="AC234" s="1890"/>
      <c r="AD234" s="1890"/>
      <c r="AE234" s="1890"/>
      <c r="AF234" s="1890"/>
      <c r="AG234" s="1890"/>
      <c r="AH234" s="1890"/>
      <c r="AI234" s="1890"/>
      <c r="AJ234" s="1890"/>
      <c r="AK234" s="1890"/>
      <c r="AL234" s="1890"/>
      <c r="AM234" s="1890"/>
      <c r="AN234" s="1890"/>
      <c r="AO234" s="1890"/>
      <c r="AP234" s="1890"/>
      <c r="AQ234" s="1890"/>
      <c r="AR234" s="1890"/>
      <c r="AS234" s="1890"/>
      <c r="AT234" s="1890"/>
      <c r="AU234" s="1890"/>
      <c r="AV234" s="1890"/>
      <c r="AW234" s="1890"/>
      <c r="AX234" s="1890"/>
      <c r="AY234" s="1890"/>
      <c r="AZ234" s="1890"/>
      <c r="BA234" s="1192"/>
      <c r="BB234" s="1192"/>
      <c r="BC234" s="1192"/>
      <c r="BD234" s="1196"/>
      <c r="BE234" s="1196"/>
    </row>
    <row r="235" spans="1:57" ht="15.75" customHeight="1">
      <c r="A235" s="1192"/>
      <c r="B235" s="1191"/>
      <c r="C235" s="1192"/>
      <c r="D235" s="1192"/>
      <c r="E235" s="1192"/>
      <c r="F235" s="1192"/>
      <c r="G235" s="1192"/>
      <c r="H235" s="1890"/>
      <c r="I235" s="1890"/>
      <c r="J235" s="1890"/>
      <c r="K235" s="1890"/>
      <c r="L235" s="1890"/>
      <c r="M235" s="1890"/>
      <c r="N235" s="1890"/>
      <c r="O235" s="1890"/>
      <c r="P235" s="1890"/>
      <c r="Q235" s="1890"/>
      <c r="R235" s="1890"/>
      <c r="S235" s="1890"/>
      <c r="T235" s="1890"/>
      <c r="U235" s="1890"/>
      <c r="V235" s="1890"/>
      <c r="W235" s="1890"/>
      <c r="X235" s="1890"/>
      <c r="Y235" s="1890"/>
      <c r="Z235" s="1890"/>
      <c r="AA235" s="1890"/>
      <c r="AB235" s="1890"/>
      <c r="AC235" s="1890"/>
      <c r="AD235" s="1890"/>
      <c r="AE235" s="1890"/>
      <c r="AF235" s="1890"/>
      <c r="AG235" s="1890"/>
      <c r="AH235" s="1890"/>
      <c r="AI235" s="1890"/>
      <c r="AJ235" s="1890"/>
      <c r="AK235" s="1890"/>
      <c r="AL235" s="1890"/>
      <c r="AM235" s="1890"/>
      <c r="AN235" s="1890"/>
      <c r="AO235" s="1890"/>
      <c r="AP235" s="1890"/>
      <c r="AQ235" s="1890"/>
      <c r="AR235" s="1890"/>
      <c r="AS235" s="1890"/>
      <c r="AT235" s="1890"/>
      <c r="AU235" s="1890"/>
      <c r="AV235" s="1890"/>
      <c r="AW235" s="1890"/>
      <c r="AX235" s="1890"/>
      <c r="AY235" s="1890"/>
      <c r="AZ235" s="189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91" t="s">
        <v>2289</v>
      </c>
      <c r="I237" s="1891"/>
      <c r="J237" s="1891"/>
      <c r="K237" s="1891"/>
      <c r="L237" s="1891"/>
      <c r="M237" s="1891"/>
      <c r="N237" s="1891"/>
      <c r="O237" s="1891"/>
      <c r="P237" s="1891"/>
      <c r="Q237" s="1891"/>
      <c r="R237" s="1891"/>
      <c r="S237" s="1891"/>
      <c r="T237" s="1891"/>
      <c r="U237" s="1891"/>
      <c r="V237" s="1891"/>
      <c r="W237" s="1891"/>
      <c r="X237" s="1891"/>
      <c r="Y237" s="1891"/>
      <c r="Z237" s="1891"/>
      <c r="AA237" s="1891"/>
      <c r="AB237" s="1891"/>
      <c r="AC237" s="1891"/>
      <c r="AD237" s="1891"/>
      <c r="AE237" s="1891"/>
      <c r="AF237" s="1891"/>
      <c r="AG237" s="1891"/>
      <c r="AH237" s="1891"/>
      <c r="AI237" s="1891"/>
      <c r="AJ237" s="1891"/>
      <c r="AK237" s="1891"/>
      <c r="AL237" s="1891"/>
      <c r="AM237" s="1891"/>
      <c r="AN237" s="1891"/>
      <c r="AO237" s="1891"/>
      <c r="AP237" s="1891"/>
      <c r="AQ237" s="1891"/>
      <c r="AR237" s="1891"/>
      <c r="AS237" s="1891"/>
      <c r="AT237" s="1891"/>
      <c r="AU237" s="1891"/>
      <c r="AV237" s="189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81" t="s">
        <v>2288</v>
      </c>
      <c r="I239" s="1881"/>
      <c r="J239" s="1881"/>
      <c r="K239" s="1881"/>
      <c r="L239" s="1243"/>
      <c r="M239" s="1243"/>
      <c r="N239" s="1243"/>
      <c r="O239" s="1243"/>
      <c r="P239" s="1243"/>
      <c r="Q239" s="1243"/>
      <c r="R239" s="1243"/>
      <c r="S239" s="1892"/>
      <c r="T239" s="1893"/>
      <c r="U239" s="1893"/>
      <c r="V239" s="1893"/>
      <c r="W239" s="1893"/>
      <c r="X239" s="1893"/>
      <c r="Y239" s="1893"/>
      <c r="Z239" s="1893"/>
      <c r="AA239" s="1893"/>
      <c r="AB239" s="1893"/>
      <c r="AC239" s="1893"/>
      <c r="AD239" s="1893"/>
      <c r="AE239" s="1893"/>
      <c r="AF239" s="1893"/>
      <c r="AG239" s="1893"/>
      <c r="AH239" s="1893"/>
      <c r="AI239" s="1893"/>
      <c r="AJ239" s="189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81" t="s">
        <v>2287</v>
      </c>
      <c r="I241" s="1881"/>
      <c r="J241" s="1881"/>
      <c r="K241" s="1245"/>
      <c r="L241" s="1243"/>
      <c r="M241" s="1243"/>
      <c r="N241" s="1243"/>
      <c r="O241" s="1243"/>
      <c r="P241" s="1243"/>
      <c r="Q241" s="1243"/>
      <c r="R241" s="1243"/>
      <c r="S241" s="1882"/>
      <c r="T241" s="1883"/>
      <c r="U241" s="1883"/>
      <c r="V241" s="1883"/>
      <c r="W241" s="1883"/>
      <c r="X241" s="1883"/>
      <c r="Y241" s="1883"/>
      <c r="Z241" s="1883"/>
      <c r="AA241" s="1883"/>
      <c r="AB241" s="1883"/>
      <c r="AC241" s="1883"/>
      <c r="AD241" s="1883"/>
      <c r="AE241" s="1883"/>
      <c r="AF241" s="1883"/>
      <c r="AG241" s="1883"/>
      <c r="AH241" s="1883"/>
      <c r="AI241" s="1883"/>
      <c r="AJ241" s="188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81" t="s">
        <v>441</v>
      </c>
      <c r="I243" s="1881"/>
      <c r="J243" s="1245"/>
      <c r="K243" s="1245"/>
      <c r="L243" s="1243"/>
      <c r="M243" s="1243"/>
      <c r="N243" s="1243"/>
      <c r="O243" s="1243"/>
      <c r="P243" s="1243"/>
      <c r="Q243" s="1243"/>
      <c r="R243" s="1243"/>
      <c r="S243" s="1882"/>
      <c r="T243" s="1883"/>
      <c r="U243" s="1883"/>
      <c r="V243" s="1883"/>
      <c r="W243" s="1883"/>
      <c r="X243" s="1883"/>
      <c r="Y243" s="1883"/>
      <c r="Z243" s="1883"/>
      <c r="AA243" s="1883"/>
      <c r="AB243" s="1883"/>
      <c r="AC243" s="1883"/>
      <c r="AD243" s="1883"/>
      <c r="AE243" s="1883"/>
      <c r="AF243" s="1883"/>
      <c r="AG243" s="1883"/>
      <c r="AH243" s="1883"/>
      <c r="AI243" s="1883"/>
      <c r="AJ243" s="188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5" t="s">
        <v>2286</v>
      </c>
      <c r="I245" s="1885"/>
      <c r="J245" s="1885"/>
      <c r="K245" s="1885"/>
      <c r="L245" s="1885"/>
      <c r="M245" s="1885"/>
      <c r="N245" s="1885"/>
      <c r="O245" s="1885"/>
      <c r="P245" s="1243"/>
      <c r="Q245" s="1243"/>
      <c r="R245" s="1243"/>
      <c r="S245" s="1882"/>
      <c r="T245" s="1883"/>
      <c r="U245" s="1883"/>
      <c r="V245" s="1883"/>
      <c r="W245" s="1883"/>
      <c r="X245" s="1883"/>
      <c r="Y245" s="1883"/>
      <c r="Z245" s="1883"/>
      <c r="AA245" s="1883"/>
      <c r="AB245" s="1883"/>
      <c r="AC245" s="1883"/>
      <c r="AD245" s="1883"/>
      <c r="AE245" s="1883"/>
      <c r="AF245" s="1883"/>
      <c r="AG245" s="1883"/>
      <c r="AH245" s="1883"/>
      <c r="AI245" s="1883"/>
      <c r="AJ245" s="188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6" t="s">
        <v>2285</v>
      </c>
      <c r="I247" s="1886"/>
      <c r="J247" s="1243"/>
      <c r="K247" s="1243"/>
      <c r="L247" s="1243"/>
      <c r="M247" s="1243"/>
      <c r="N247" s="1243"/>
      <c r="O247" s="1243"/>
      <c r="P247" s="1243"/>
      <c r="Q247" s="1243"/>
      <c r="R247" s="1243"/>
      <c r="S247" s="1887"/>
      <c r="T247" s="1888"/>
      <c r="U247" s="1888"/>
      <c r="V247" s="1888"/>
      <c r="W247" s="1888"/>
      <c r="X247" s="1888"/>
      <c r="Y247" s="1888"/>
      <c r="Z247" s="1888"/>
      <c r="AA247" s="1888"/>
      <c r="AB247" s="1888"/>
      <c r="AC247" s="1888"/>
      <c r="AD247" s="1888"/>
      <c r="AE247" s="1888"/>
      <c r="AF247" s="1888"/>
      <c r="AG247" s="1888"/>
      <c r="AH247" s="1888"/>
      <c r="AI247" s="1888"/>
      <c r="AJ247" s="188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Y41" sqref="Y41:AH4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82" t="s">
        <v>1280</v>
      </c>
      <c r="B1" s="2382"/>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2"/>
      <c r="AM1" s="2382"/>
      <c r="AN1" s="2382"/>
    </row>
    <row r="2" spans="1:40" ht="13" customHeight="1" thickBot="1">
      <c r="A2" s="2383"/>
      <c r="B2" s="2383"/>
      <c r="C2" s="2383"/>
      <c r="D2" s="2383"/>
      <c r="E2" s="2383"/>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362" t="str">
        <f xml:space="preserve"> IF(T25=100%,'Sources and Basis Breakdown'!G2,'Sources and Basis Breakdown'!F2)</f>
        <v>30% PVC for New Const/
Rehabilitation
NON-DDA/
NON-QCT Building(s)</v>
      </c>
      <c r="U7" s="2362"/>
      <c r="V7" s="2362"/>
      <c r="W7" s="2362"/>
      <c r="X7" s="2362"/>
      <c r="Y7" s="2362" t="str">
        <f>IF(T25=100%,"",'Sources and Basis Breakdown'!G2)</f>
        <v/>
      </c>
      <c r="Z7" s="2362"/>
      <c r="AA7" s="2362"/>
      <c r="AB7" s="2362"/>
      <c r="AC7" s="2362"/>
      <c r="AD7" s="2362" t="str">
        <f xml:space="preserve"> IF(T25=100%, 'Sources and Basis Breakdown'!J2,'Sources and Basis Breakdown'!I2)</f>
        <v>30% PVC for Acquisition
NON-DDA/
NON-QCT Building(s)</v>
      </c>
      <c r="AE7" s="2362"/>
      <c r="AF7" s="2362"/>
      <c r="AG7" s="2362"/>
      <c r="AH7" s="2362"/>
      <c r="AI7" s="2362" t="str">
        <f>IF(T25=100%,"",'Sources and Basis Breakdown'!J2)</f>
        <v/>
      </c>
      <c r="AJ7" s="2362"/>
      <c r="AK7" s="2362"/>
      <c r="AL7" s="2362"/>
      <c r="AM7" s="2362"/>
    </row>
    <row r="8" spans="1:40" ht="13" customHeight="1">
      <c r="B8" s="408"/>
      <c r="T8" s="2362"/>
      <c r="U8" s="2362"/>
      <c r="V8" s="2362"/>
      <c r="W8" s="2362"/>
      <c r="X8" s="2362"/>
      <c r="Y8" s="2362"/>
      <c r="Z8" s="2362"/>
      <c r="AA8" s="2362"/>
      <c r="AB8" s="2362"/>
      <c r="AC8" s="2362"/>
      <c r="AD8" s="2362"/>
      <c r="AE8" s="2362"/>
      <c r="AF8" s="2362"/>
      <c r="AG8" s="2362"/>
      <c r="AH8" s="2362"/>
      <c r="AI8" s="2362"/>
      <c r="AJ8" s="2362"/>
      <c r="AK8" s="2362"/>
      <c r="AL8" s="2362"/>
      <c r="AM8" s="2362"/>
    </row>
    <row r="9" spans="1:40" ht="13" customHeight="1">
      <c r="B9" s="408"/>
      <c r="T9" s="2362"/>
      <c r="U9" s="2362"/>
      <c r="V9" s="2362"/>
      <c r="W9" s="2362"/>
      <c r="X9" s="2362"/>
      <c r="Y9" s="2362"/>
      <c r="Z9" s="2362"/>
      <c r="AA9" s="2362"/>
      <c r="AB9" s="2362"/>
      <c r="AC9" s="2362"/>
      <c r="AD9" s="2362"/>
      <c r="AE9" s="2362"/>
      <c r="AF9" s="2362"/>
      <c r="AG9" s="2362"/>
      <c r="AH9" s="2362"/>
      <c r="AI9" s="2362"/>
      <c r="AJ9" s="2362"/>
      <c r="AK9" s="2362"/>
      <c r="AL9" s="2362"/>
      <c r="AM9" s="2362"/>
    </row>
    <row r="10" spans="1:40" ht="13" customHeight="1">
      <c r="B10" s="409"/>
      <c r="C10" s="410"/>
      <c r="D10" s="410"/>
      <c r="E10" s="410"/>
      <c r="F10" s="410"/>
      <c r="G10" s="410"/>
      <c r="H10" s="410"/>
      <c r="I10" s="410"/>
      <c r="J10" s="410"/>
      <c r="K10" s="410"/>
      <c r="L10" s="410"/>
      <c r="M10" s="410"/>
      <c r="N10" s="410"/>
      <c r="O10" s="410"/>
      <c r="P10" s="410"/>
      <c r="Q10" s="410"/>
      <c r="R10" s="410"/>
      <c r="S10" s="410"/>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3" customHeight="1">
      <c r="B11" s="2348" t="s">
        <v>375</v>
      </c>
      <c r="C11" s="2349"/>
      <c r="D11" s="2349"/>
      <c r="E11" s="2349"/>
      <c r="F11" s="2349"/>
      <c r="G11" s="2349"/>
      <c r="H11" s="2349"/>
      <c r="I11" s="2349"/>
      <c r="J11" s="2349"/>
      <c r="K11" s="2349"/>
      <c r="L11" s="2349"/>
      <c r="M11" s="2349"/>
      <c r="N11" s="2349"/>
      <c r="O11" s="2349"/>
      <c r="P11" s="2349"/>
      <c r="Q11" s="2349"/>
      <c r="R11" s="2349"/>
      <c r="S11" s="2350"/>
      <c r="T11" s="2384">
        <f>IF('Sources and Basis Breakdown'!F107=0,'Sources and Basis Breakdown'!E107,'Sources and Basis Breakdown'!F107)</f>
        <v>38287422</v>
      </c>
      <c r="U11" s="2385"/>
      <c r="V11" s="2385"/>
      <c r="W11" s="2385"/>
      <c r="X11" s="2385"/>
      <c r="Y11" s="2384">
        <f>IF(Y7="",0,IF('Sources and Basis Breakdown'!G107+'Sources and Basis Breakdown'!F107='Sources and Basis Breakdown'!E107,'Sources and Basis Breakdown'!G107,0))</f>
        <v>0</v>
      </c>
      <c r="Z11" s="2385"/>
      <c r="AA11" s="2385"/>
      <c r="AB11" s="2385"/>
      <c r="AC11" s="2385"/>
      <c r="AD11" s="2385">
        <f>IF('Sources and Basis Breakdown'!I107=0,'Sources and Basis Breakdown'!H107,'Sources and Basis Breakdown'!I107)</f>
        <v>0</v>
      </c>
      <c r="AE11" s="2385"/>
      <c r="AF11" s="2385"/>
      <c r="AG11" s="2385"/>
      <c r="AH11" s="2385"/>
      <c r="AI11" s="2385">
        <f>IF(Y7="",0,IF('Sources and Basis Breakdown'!I107+'Sources and Basis Breakdown'!J107='Sources and Basis Breakdown'!H107,'Sources and Basis Breakdown'!J107,0))</f>
        <v>0</v>
      </c>
      <c r="AJ11" s="2385"/>
      <c r="AK11" s="2385"/>
      <c r="AL11" s="2385"/>
      <c r="AM11" s="2385"/>
    </row>
    <row r="12" spans="1:40" ht="13" customHeight="1">
      <c r="B12" s="2386" t="s">
        <v>497</v>
      </c>
      <c r="C12" s="1307"/>
      <c r="D12" s="1307"/>
      <c r="E12" s="1307"/>
      <c r="F12" s="1307"/>
      <c r="G12" s="1307"/>
      <c r="H12" s="1307"/>
      <c r="I12" s="1307"/>
      <c r="J12" s="1307"/>
      <c r="K12" s="1307"/>
      <c r="L12" s="1307"/>
      <c r="M12" s="1307"/>
      <c r="N12" s="1307"/>
      <c r="O12" s="1307"/>
      <c r="P12" s="1307"/>
      <c r="Q12" s="1307"/>
      <c r="R12" s="1307"/>
      <c r="S12" s="2387"/>
      <c r="T12" s="2377"/>
      <c r="U12" s="2378"/>
      <c r="V12" s="2378"/>
      <c r="W12" s="2378"/>
      <c r="X12" s="2379"/>
      <c r="Y12" s="2377"/>
      <c r="Z12" s="2378"/>
      <c r="AA12" s="2378"/>
      <c r="AB12" s="2378"/>
      <c r="AC12" s="2379"/>
      <c r="AD12" s="2377"/>
      <c r="AE12" s="2378"/>
      <c r="AF12" s="2378"/>
      <c r="AG12" s="2378"/>
      <c r="AH12" s="2379"/>
      <c r="AI12" s="2377"/>
      <c r="AJ12" s="2378"/>
      <c r="AK12" s="2378"/>
      <c r="AL12" s="2378"/>
      <c r="AM12" s="2379"/>
    </row>
    <row r="13" spans="1:40" ht="13" customHeight="1">
      <c r="B13" s="436"/>
      <c r="C13" s="2388" t="s">
        <v>498</v>
      </c>
      <c r="D13" s="2388"/>
      <c r="E13" s="2388"/>
      <c r="F13" s="2388"/>
      <c r="G13" s="2388"/>
      <c r="H13" s="2388"/>
      <c r="I13" s="2388"/>
      <c r="J13" s="2388"/>
      <c r="K13" s="2388"/>
      <c r="L13" s="2388"/>
      <c r="M13" s="2388"/>
      <c r="N13" s="2388"/>
      <c r="O13" s="2388"/>
      <c r="P13" s="2388"/>
      <c r="Q13" s="2388"/>
      <c r="R13" s="2388"/>
      <c r="S13" s="2389"/>
      <c r="T13" s="2380"/>
      <c r="U13" s="2381"/>
      <c r="V13" s="2381"/>
      <c r="W13" s="2381"/>
      <c r="X13" s="2381"/>
      <c r="Y13" s="2380"/>
      <c r="Z13" s="2381"/>
      <c r="AA13" s="2381"/>
      <c r="AB13" s="2381"/>
      <c r="AC13" s="2381"/>
      <c r="AD13" s="2381"/>
      <c r="AE13" s="2381"/>
      <c r="AF13" s="2381"/>
      <c r="AG13" s="2381"/>
      <c r="AH13" s="2381"/>
      <c r="AI13" s="2381"/>
      <c r="AJ13" s="2381"/>
      <c r="AK13" s="2381"/>
      <c r="AL13" s="2381"/>
      <c r="AM13" s="2381"/>
    </row>
    <row r="14" spans="1:40" ht="13" customHeight="1">
      <c r="B14" s="436"/>
      <c r="C14" s="2388" t="s">
        <v>499</v>
      </c>
      <c r="D14" s="2388"/>
      <c r="E14" s="2388"/>
      <c r="F14" s="2388"/>
      <c r="G14" s="2388"/>
      <c r="H14" s="2388"/>
      <c r="I14" s="2388"/>
      <c r="J14" s="2388"/>
      <c r="K14" s="2388"/>
      <c r="L14" s="2388"/>
      <c r="M14" s="2388"/>
      <c r="N14" s="2388"/>
      <c r="O14" s="2388"/>
      <c r="P14" s="2388"/>
      <c r="Q14" s="2388"/>
      <c r="R14" s="2388"/>
      <c r="S14" s="2389"/>
      <c r="T14" s="2370"/>
      <c r="U14" s="2371"/>
      <c r="V14" s="2371"/>
      <c r="W14" s="2371"/>
      <c r="X14" s="2371"/>
      <c r="Y14" s="2370"/>
      <c r="Z14" s="2371"/>
      <c r="AA14" s="2371"/>
      <c r="AB14" s="2371"/>
      <c r="AC14" s="2371"/>
      <c r="AD14" s="2371"/>
      <c r="AE14" s="2371"/>
      <c r="AF14" s="2371"/>
      <c r="AG14" s="2371"/>
      <c r="AH14" s="2371"/>
      <c r="AI14" s="2371"/>
      <c r="AJ14" s="2371"/>
      <c r="AK14" s="2371"/>
      <c r="AL14" s="2371"/>
      <c r="AM14" s="2371"/>
    </row>
    <row r="15" spans="1:40" ht="13" customHeight="1">
      <c r="B15" s="436"/>
      <c r="C15" s="2388" t="s">
        <v>500</v>
      </c>
      <c r="D15" s="2388"/>
      <c r="E15" s="2388"/>
      <c r="F15" s="2388"/>
      <c r="G15" s="2388"/>
      <c r="H15" s="2388"/>
      <c r="I15" s="2388"/>
      <c r="J15" s="2388"/>
      <c r="K15" s="2388"/>
      <c r="L15" s="2388"/>
      <c r="M15" s="2388"/>
      <c r="N15" s="2388"/>
      <c r="O15" s="2388"/>
      <c r="P15" s="2388"/>
      <c r="Q15" s="2388"/>
      <c r="R15" s="2388"/>
      <c r="S15" s="2389"/>
      <c r="T15" s="2370"/>
      <c r="U15" s="2371"/>
      <c r="V15" s="2371"/>
      <c r="W15" s="2371"/>
      <c r="X15" s="2371"/>
      <c r="Y15" s="2370"/>
      <c r="Z15" s="2371"/>
      <c r="AA15" s="2371"/>
      <c r="AB15" s="2371"/>
      <c r="AC15" s="2371"/>
      <c r="AD15" s="2371"/>
      <c r="AE15" s="2371"/>
      <c r="AF15" s="2371"/>
      <c r="AG15" s="2371"/>
      <c r="AH15" s="2371"/>
      <c r="AI15" s="2371"/>
      <c r="AJ15" s="2371"/>
      <c r="AK15" s="2371"/>
      <c r="AL15" s="2371"/>
      <c r="AM15" s="2371"/>
    </row>
    <row r="16" spans="1:40" ht="13" customHeight="1">
      <c r="B16" s="436"/>
      <c r="C16" s="2388" t="s">
        <v>805</v>
      </c>
      <c r="D16" s="2388"/>
      <c r="E16" s="2388"/>
      <c r="F16" s="2388"/>
      <c r="G16" s="2388"/>
      <c r="H16" s="2388"/>
      <c r="I16" s="2388"/>
      <c r="J16" s="2388"/>
      <c r="K16" s="2388"/>
      <c r="L16" s="2388"/>
      <c r="M16" s="2388"/>
      <c r="N16" s="2388"/>
      <c r="O16" s="2388"/>
      <c r="P16" s="2388"/>
      <c r="Q16" s="2388"/>
      <c r="R16" s="2388"/>
      <c r="S16" s="2389"/>
      <c r="T16" s="2370"/>
      <c r="U16" s="2371"/>
      <c r="V16" s="2371"/>
      <c r="W16" s="2371"/>
      <c r="X16" s="2371"/>
      <c r="Y16" s="2370"/>
      <c r="Z16" s="2371"/>
      <c r="AA16" s="2371"/>
      <c r="AB16" s="2371"/>
      <c r="AC16" s="2371"/>
      <c r="AD16" s="2371"/>
      <c r="AE16" s="2371"/>
      <c r="AF16" s="2371"/>
      <c r="AG16" s="2371"/>
      <c r="AH16" s="2371"/>
      <c r="AI16" s="2371"/>
      <c r="AJ16" s="2371"/>
      <c r="AK16" s="2371"/>
      <c r="AL16" s="2371"/>
      <c r="AM16" s="2371"/>
    </row>
    <row r="17" spans="1:40" ht="13" customHeight="1">
      <c r="B17" s="436"/>
      <c r="C17" s="2388" t="s">
        <v>501</v>
      </c>
      <c r="D17" s="2388"/>
      <c r="E17" s="2388"/>
      <c r="F17" s="2388"/>
      <c r="G17" s="2388"/>
      <c r="H17" s="2388"/>
      <c r="I17" s="2388"/>
      <c r="J17" s="2388"/>
      <c r="K17" s="2388"/>
      <c r="L17" s="2388"/>
      <c r="M17" s="2388"/>
      <c r="N17" s="2388"/>
      <c r="O17" s="2388"/>
      <c r="P17" s="2388"/>
      <c r="Q17" s="2388"/>
      <c r="R17" s="2388"/>
      <c r="S17" s="2389"/>
      <c r="T17" s="2370"/>
      <c r="U17" s="2371"/>
      <c r="V17" s="2371"/>
      <c r="W17" s="2371"/>
      <c r="X17" s="2371"/>
      <c r="Y17" s="2370"/>
      <c r="Z17" s="2371"/>
      <c r="AA17" s="2371"/>
      <c r="AB17" s="2371"/>
      <c r="AC17" s="2371"/>
      <c r="AD17" s="2371"/>
      <c r="AE17" s="2371"/>
      <c r="AF17" s="2371"/>
      <c r="AG17" s="2371"/>
      <c r="AH17" s="2371"/>
      <c r="AI17" s="2371"/>
      <c r="AJ17" s="2371"/>
      <c r="AK17" s="2371"/>
      <c r="AL17" s="2371"/>
      <c r="AM17" s="2371"/>
    </row>
    <row r="18" spans="1:40" ht="13" customHeight="1">
      <c r="A18"/>
      <c r="B18" s="1152"/>
      <c r="C18" s="1565" t="s">
        <v>960</v>
      </c>
      <c r="D18" s="1565"/>
      <c r="E18" s="1565"/>
      <c r="F18" s="1565"/>
      <c r="G18" s="1565"/>
      <c r="H18" s="1565"/>
      <c r="I18" s="1565"/>
      <c r="J18" s="1565"/>
      <c r="K18" s="1565"/>
      <c r="L18" s="1565"/>
      <c r="M18" s="1565"/>
      <c r="N18" s="1565"/>
      <c r="O18" s="1565"/>
      <c r="P18" s="1565"/>
      <c r="Q18" s="1565"/>
      <c r="R18" s="1565"/>
      <c r="S18" s="1566"/>
      <c r="T18" s="2370"/>
      <c r="U18" s="2371"/>
      <c r="V18" s="2371"/>
      <c r="W18" s="2371"/>
      <c r="X18" s="2371"/>
      <c r="Y18" s="2370"/>
      <c r="Z18" s="2371"/>
      <c r="AA18" s="2371"/>
      <c r="AB18" s="2371"/>
      <c r="AC18" s="2371"/>
      <c r="AD18" s="2371"/>
      <c r="AE18" s="2371"/>
      <c r="AF18" s="2371"/>
      <c r="AG18" s="2371"/>
      <c r="AH18" s="2371"/>
      <c r="AI18" s="2371"/>
      <c r="AJ18" s="2371"/>
      <c r="AK18" s="2371"/>
      <c r="AL18" s="2371"/>
      <c r="AM18" s="2371"/>
    </row>
    <row r="19" spans="1:40" ht="13" customHeight="1">
      <c r="B19" s="1152"/>
      <c r="C19" s="1565" t="s">
        <v>960</v>
      </c>
      <c r="D19" s="1565"/>
      <c r="E19" s="1565"/>
      <c r="F19" s="1565"/>
      <c r="G19" s="1565"/>
      <c r="H19" s="1565"/>
      <c r="I19" s="1565"/>
      <c r="J19" s="1565"/>
      <c r="K19" s="1565"/>
      <c r="L19" s="1565"/>
      <c r="M19" s="1565"/>
      <c r="N19" s="1565"/>
      <c r="O19" s="1565"/>
      <c r="P19" s="1565"/>
      <c r="Q19" s="1565"/>
      <c r="R19" s="1565"/>
      <c r="S19" s="1566"/>
      <c r="T19" s="2370"/>
      <c r="U19" s="2371"/>
      <c r="V19" s="2371"/>
      <c r="W19" s="2371"/>
      <c r="X19" s="2371"/>
      <c r="Y19" s="2370"/>
      <c r="Z19" s="2371"/>
      <c r="AA19" s="2371"/>
      <c r="AB19" s="2371"/>
      <c r="AC19" s="2371"/>
      <c r="AD19" s="2371"/>
      <c r="AE19" s="2371"/>
      <c r="AF19" s="2371"/>
      <c r="AG19" s="2371"/>
      <c r="AH19" s="2371"/>
      <c r="AI19" s="2371"/>
      <c r="AJ19" s="2371"/>
      <c r="AK19" s="2371"/>
      <c r="AL19" s="2371"/>
      <c r="AM19" s="2371"/>
    </row>
    <row r="20" spans="1:40" ht="13" customHeight="1">
      <c r="B20" s="2348" t="s">
        <v>502</v>
      </c>
      <c r="C20" s="2349"/>
      <c r="D20" s="2349"/>
      <c r="E20" s="2349"/>
      <c r="F20" s="2349"/>
      <c r="G20" s="2349"/>
      <c r="H20" s="2349"/>
      <c r="I20" s="2349"/>
      <c r="J20" s="2349"/>
      <c r="K20" s="2349"/>
      <c r="L20" s="2349"/>
      <c r="M20" s="2349"/>
      <c r="N20" s="2349"/>
      <c r="O20" s="2349"/>
      <c r="P20" s="2349"/>
      <c r="Q20" s="2349"/>
      <c r="R20" s="2349"/>
      <c r="S20" s="2350"/>
      <c r="T20" s="2361">
        <f>SUM(T13:X19)</f>
        <v>0</v>
      </c>
      <c r="U20" s="2342"/>
      <c r="V20" s="2342"/>
      <c r="W20" s="2342"/>
      <c r="X20" s="2342"/>
      <c r="Y20" s="2361">
        <f>SUM(Y13:AC19)</f>
        <v>0</v>
      </c>
      <c r="Z20" s="2342"/>
      <c r="AA20" s="2342"/>
      <c r="AB20" s="2342"/>
      <c r="AC20" s="2342"/>
      <c r="AD20" s="2352">
        <f>SUM(AD13:AH19)</f>
        <v>0</v>
      </c>
      <c r="AE20" s="2360"/>
      <c r="AF20" s="2360"/>
      <c r="AG20" s="2360"/>
      <c r="AH20" s="2361"/>
      <c r="AI20" s="2352">
        <f>SUM(AI13:AM19)</f>
        <v>0</v>
      </c>
      <c r="AJ20" s="2360"/>
      <c r="AK20" s="2360"/>
      <c r="AL20" s="2360"/>
      <c r="AM20" s="2361"/>
    </row>
    <row r="21" spans="1:40" ht="13" customHeight="1">
      <c r="B21" s="2348" t="s">
        <v>1263</v>
      </c>
      <c r="C21" s="2349"/>
      <c r="D21" s="2349"/>
      <c r="E21" s="2349"/>
      <c r="F21" s="2349"/>
      <c r="G21" s="2349"/>
      <c r="H21" s="2349"/>
      <c r="I21" s="2349"/>
      <c r="J21" s="2349"/>
      <c r="K21" s="2349"/>
      <c r="L21" s="2349"/>
      <c r="M21" s="2349"/>
      <c r="N21" s="2349"/>
      <c r="O21" s="2349"/>
      <c r="P21" s="2349"/>
      <c r="Q21" s="2349"/>
      <c r="R21" s="2349"/>
      <c r="S21" s="2350"/>
      <c r="T21" s="2370"/>
      <c r="U21" s="2371"/>
      <c r="V21" s="2371"/>
      <c r="W21" s="2371"/>
      <c r="X21" s="2371"/>
      <c r="Y21" s="2370"/>
      <c r="Z21" s="2371"/>
      <c r="AA21" s="2371"/>
      <c r="AB21" s="2371"/>
      <c r="AC21" s="2371"/>
      <c r="AD21" s="2377"/>
      <c r="AE21" s="2378"/>
      <c r="AF21" s="2378"/>
      <c r="AG21" s="2378"/>
      <c r="AH21" s="2379"/>
      <c r="AI21" s="2377"/>
      <c r="AJ21" s="2378"/>
      <c r="AK21" s="2378"/>
      <c r="AL21" s="2378"/>
      <c r="AM21" s="2379"/>
    </row>
    <row r="22" spans="1:40" ht="13" customHeight="1">
      <c r="B22" s="2348" t="s">
        <v>503</v>
      </c>
      <c r="C22" s="2349"/>
      <c r="D22" s="2349"/>
      <c r="E22" s="2349"/>
      <c r="F22" s="2349"/>
      <c r="G22" s="2349"/>
      <c r="H22" s="2349"/>
      <c r="I22" s="2349"/>
      <c r="J22" s="2349"/>
      <c r="K22" s="2349"/>
      <c r="L22" s="2349"/>
      <c r="M22" s="2349"/>
      <c r="N22" s="2349"/>
      <c r="O22" s="2349"/>
      <c r="P22" s="2349"/>
      <c r="Q22" s="2349"/>
      <c r="R22" s="2349"/>
      <c r="S22" s="2350"/>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8" t="s">
        <v>504</v>
      </c>
      <c r="C23" s="2349"/>
      <c r="D23" s="2349"/>
      <c r="E23" s="2349"/>
      <c r="F23" s="2349"/>
      <c r="G23" s="2349"/>
      <c r="H23" s="2349"/>
      <c r="I23" s="2349"/>
      <c r="J23" s="2349"/>
      <c r="K23" s="2349"/>
      <c r="L23" s="2349"/>
      <c r="M23" s="2349"/>
      <c r="N23" s="2349"/>
      <c r="O23" s="2349"/>
      <c r="P23" s="2349"/>
      <c r="Q23" s="2349"/>
      <c r="R23" s="2349"/>
      <c r="S23" s="2350"/>
      <c r="T23" s="2361">
        <f>T11+T22</f>
        <v>38287422</v>
      </c>
      <c r="U23" s="2342"/>
      <c r="V23" s="2342"/>
      <c r="W23" s="2342"/>
      <c r="X23" s="2342"/>
      <c r="Y23" s="2361">
        <f>Y11+Y22</f>
        <v>0</v>
      </c>
      <c r="Z23" s="2342"/>
      <c r="AA23" s="2342"/>
      <c r="AB23" s="2342"/>
      <c r="AC23" s="2342"/>
      <c r="AD23" s="2361">
        <f>AD11+AD22</f>
        <v>0</v>
      </c>
      <c r="AE23" s="2342"/>
      <c r="AF23" s="2342"/>
      <c r="AG23" s="2342"/>
      <c r="AH23" s="2342"/>
      <c r="AI23" s="2361">
        <f>AI11+AI22</f>
        <v>0</v>
      </c>
      <c r="AJ23" s="2342"/>
      <c r="AK23" s="2342"/>
      <c r="AL23" s="2342"/>
      <c r="AM23" s="2342"/>
    </row>
    <row r="24" spans="1:40" ht="13" customHeight="1">
      <c r="B24" s="2348" t="s">
        <v>961</v>
      </c>
      <c r="C24" s="2349"/>
      <c r="D24" s="2349"/>
      <c r="E24" s="2349"/>
      <c r="F24" s="2349"/>
      <c r="G24" s="2349"/>
      <c r="H24" s="2349"/>
      <c r="I24" s="2349"/>
      <c r="J24" s="2349"/>
      <c r="K24" s="2349"/>
      <c r="L24" s="2349"/>
      <c r="M24" s="2349"/>
      <c r="N24" s="2349"/>
      <c r="O24" s="2349"/>
      <c r="P24" s="2349"/>
      <c r="Q24" s="2349"/>
      <c r="R24" s="2349"/>
      <c r="S24" s="2350"/>
      <c r="T24" s="2352">
        <f>Application!AJ1053</f>
        <v>78268166.640000001</v>
      </c>
      <c r="U24" s="2360"/>
      <c r="V24" s="2360"/>
      <c r="W24" s="2360"/>
      <c r="X24" s="2360"/>
      <c r="Y24" s="2360"/>
      <c r="Z24" s="2360"/>
      <c r="AA24" s="2360"/>
      <c r="AB24" s="2360"/>
      <c r="AC24" s="2360"/>
      <c r="AD24" s="2360"/>
      <c r="AE24" s="2360"/>
      <c r="AF24" s="2360"/>
      <c r="AG24" s="2360"/>
      <c r="AH24" s="2360"/>
      <c r="AI24" s="2360"/>
      <c r="AJ24" s="2360"/>
      <c r="AK24" s="2360"/>
      <c r="AL24" s="2360"/>
      <c r="AM24" s="2361"/>
    </row>
    <row r="25" spans="1:40" ht="13" customHeight="1">
      <c r="B25" s="2392" t="s">
        <v>1264</v>
      </c>
      <c r="C25" s="2393"/>
      <c r="D25" s="2393"/>
      <c r="E25" s="2393"/>
      <c r="F25" s="2393"/>
      <c r="G25" s="2393"/>
      <c r="H25" s="2393"/>
      <c r="I25" s="2393"/>
      <c r="J25" s="2393"/>
      <c r="K25" s="2393"/>
      <c r="L25" s="2393"/>
      <c r="M25" s="2393"/>
      <c r="N25" s="2393"/>
      <c r="O25" s="2393"/>
      <c r="P25" s="2393"/>
      <c r="Q25" s="2393"/>
      <c r="R25" s="2393"/>
      <c r="S25" s="2394"/>
      <c r="T25" s="2374">
        <f>IF(OR(Application!T196="yes",Application!T195="yes"),1.3,1)</f>
        <v>1</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 customHeight="1">
      <c r="B26" s="2348" t="s">
        <v>505</v>
      </c>
      <c r="C26" s="2349"/>
      <c r="D26" s="2349"/>
      <c r="E26" s="2349"/>
      <c r="F26" s="2349"/>
      <c r="G26" s="2349"/>
      <c r="H26" s="2349"/>
      <c r="I26" s="2349"/>
      <c r="J26" s="2349"/>
      <c r="K26" s="2349"/>
      <c r="L26" s="2349"/>
      <c r="M26" s="2349"/>
      <c r="N26" s="2349"/>
      <c r="O26" s="2349"/>
      <c r="P26" s="2349"/>
      <c r="Q26" s="2349"/>
      <c r="R26" s="2349"/>
      <c r="S26" s="2350"/>
      <c r="T26" s="2361">
        <f>T23*T25</f>
        <v>38287422</v>
      </c>
      <c r="U26" s="2342"/>
      <c r="V26" s="2342"/>
      <c r="W26" s="2342"/>
      <c r="X26" s="2342"/>
      <c r="Y26" s="2361">
        <f>Y23*Y25</f>
        <v>0</v>
      </c>
      <c r="Z26" s="2342"/>
      <c r="AA26" s="2342"/>
      <c r="AB26" s="2342"/>
      <c r="AC26" s="2342"/>
      <c r="AD26" s="2361">
        <f>AD23*AD25</f>
        <v>0</v>
      </c>
      <c r="AE26" s="2342"/>
      <c r="AF26" s="2342"/>
      <c r="AG26" s="2342"/>
      <c r="AH26" s="2342"/>
      <c r="AI26" s="2361">
        <f>AI23*AI25</f>
        <v>0</v>
      </c>
      <c r="AJ26" s="2342"/>
      <c r="AK26" s="2342"/>
      <c r="AL26" s="2342"/>
      <c r="AM26" s="2342"/>
    </row>
    <row r="27" spans="1:40" ht="13" customHeight="1">
      <c r="A27" s="411"/>
      <c r="B27" s="2395" t="s">
        <v>426</v>
      </c>
      <c r="C27" s="2396"/>
      <c r="D27" s="2396"/>
      <c r="E27" s="2396"/>
      <c r="F27" s="2396"/>
      <c r="G27" s="2396"/>
      <c r="H27" s="2396"/>
      <c r="I27" s="2396"/>
      <c r="J27" s="2396"/>
      <c r="K27" s="2396"/>
      <c r="L27" s="2396"/>
      <c r="M27" s="2396"/>
      <c r="N27" s="2396"/>
      <c r="O27" s="2396"/>
      <c r="P27" s="2396"/>
      <c r="Q27" s="2396"/>
      <c r="R27" s="2396"/>
      <c r="S27" s="2397"/>
      <c r="T27" s="2372">
        <f>Application!$AG$445</f>
        <v>1</v>
      </c>
      <c r="U27" s="2373"/>
      <c r="V27" s="2373"/>
      <c r="W27" s="2373"/>
      <c r="X27" s="2373"/>
      <c r="Y27" s="2372">
        <f>Application!$AG$445</f>
        <v>1</v>
      </c>
      <c r="Z27" s="2373"/>
      <c r="AA27" s="2373"/>
      <c r="AB27" s="2373"/>
      <c r="AC27" s="2373"/>
      <c r="AD27" s="2372">
        <f>Application!$AG$445</f>
        <v>1</v>
      </c>
      <c r="AE27" s="2373"/>
      <c r="AF27" s="2373"/>
      <c r="AG27" s="2373"/>
      <c r="AH27" s="2373"/>
      <c r="AI27" s="2372">
        <f>Application!$AG$445</f>
        <v>1</v>
      </c>
      <c r="AJ27" s="2373"/>
      <c r="AK27" s="2373"/>
      <c r="AL27" s="2373"/>
      <c r="AM27" s="2373"/>
    </row>
    <row r="28" spans="1:40" ht="13" customHeight="1">
      <c r="A28" s="405"/>
      <c r="B28" s="2348" t="s">
        <v>506</v>
      </c>
      <c r="C28" s="2349"/>
      <c r="D28" s="2349"/>
      <c r="E28" s="2349"/>
      <c r="F28" s="2349"/>
      <c r="G28" s="2349"/>
      <c r="H28" s="2349"/>
      <c r="I28" s="2349"/>
      <c r="J28" s="2349"/>
      <c r="K28" s="2349"/>
      <c r="L28" s="2349"/>
      <c r="M28" s="2349"/>
      <c r="N28" s="2349"/>
      <c r="O28" s="2349"/>
      <c r="P28" s="2349"/>
      <c r="Q28" s="2349"/>
      <c r="R28" s="2349"/>
      <c r="S28" s="2350"/>
      <c r="T28" s="2361">
        <f>IF(ISERROR((T26*T27)),0,(T26*T27))</f>
        <v>38287422</v>
      </c>
      <c r="U28" s="2342"/>
      <c r="V28" s="2342"/>
      <c r="W28" s="2342"/>
      <c r="X28" s="2342"/>
      <c r="Y28" s="2361">
        <f>IF(ISERROR((Y26*Y27)),0,(Y26*Y27))</f>
        <v>0</v>
      </c>
      <c r="Z28" s="2342"/>
      <c r="AA28" s="2342"/>
      <c r="AB28" s="2342"/>
      <c r="AC28" s="2342"/>
      <c r="AD28" s="2361">
        <f>IF(ISERROR((AD26*AD27)),0,(AD26*AD27))</f>
        <v>0</v>
      </c>
      <c r="AE28" s="2342"/>
      <c r="AF28" s="2342"/>
      <c r="AG28" s="2342"/>
      <c r="AH28" s="2342"/>
      <c r="AI28" s="2361">
        <f>IF(ISERROR((AI26*AI27)),0,(AI26*AI27))</f>
        <v>0</v>
      </c>
      <c r="AJ28" s="2342"/>
      <c r="AK28" s="2342"/>
      <c r="AL28" s="2342"/>
      <c r="AM28" s="2342"/>
    </row>
    <row r="29" spans="1:40" ht="13" customHeight="1">
      <c r="B29" s="2348" t="s">
        <v>523</v>
      </c>
      <c r="C29" s="2349"/>
      <c r="D29" s="2349"/>
      <c r="E29" s="2349"/>
      <c r="F29" s="2349"/>
      <c r="G29" s="2349"/>
      <c r="H29" s="2349"/>
      <c r="I29" s="2349"/>
      <c r="J29" s="2349"/>
      <c r="K29" s="2349"/>
      <c r="L29" s="2349"/>
      <c r="M29" s="2349"/>
      <c r="N29" s="2349"/>
      <c r="O29" s="2349"/>
      <c r="P29" s="2349"/>
      <c r="Q29" s="2349"/>
      <c r="R29" s="2349"/>
      <c r="S29" s="2350"/>
      <c r="T29" s="2352">
        <f>T28+Y28+AD28+AI28</f>
        <v>38287422</v>
      </c>
      <c r="U29" s="2360"/>
      <c r="V29" s="2360"/>
      <c r="W29" s="2360"/>
      <c r="X29" s="2360"/>
      <c r="Y29" s="2360"/>
      <c r="Z29" s="2360"/>
      <c r="AA29" s="2360"/>
      <c r="AB29" s="2360"/>
      <c r="AC29" s="2360"/>
      <c r="AD29" s="2360"/>
      <c r="AE29" s="2360"/>
      <c r="AF29" s="2360"/>
      <c r="AG29" s="2360"/>
      <c r="AH29" s="2360"/>
      <c r="AI29" s="2360"/>
      <c r="AJ29" s="2360"/>
      <c r="AK29" s="2360"/>
      <c r="AL29" s="2360"/>
      <c r="AM29" s="2361"/>
    </row>
    <row r="30" spans="1:40" ht="13" customHeight="1">
      <c r="B30" s="2365" t="s">
        <v>1266</v>
      </c>
      <c r="C30" s="2365"/>
      <c r="D30" s="2365"/>
      <c r="E30" s="2365"/>
      <c r="F30" s="2365"/>
      <c r="G30" s="2365"/>
      <c r="H30" s="2365"/>
      <c r="I30" s="2365"/>
      <c r="J30" s="2365"/>
      <c r="K30" s="2365"/>
      <c r="L30" s="2365"/>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row>
    <row r="31" spans="1:40" ht="13" customHeight="1">
      <c r="B31" s="2365" t="s">
        <v>1265</v>
      </c>
      <c r="C31" s="2365"/>
      <c r="D31" s="2365"/>
      <c r="E31" s="2365"/>
      <c r="F31" s="2365"/>
      <c r="G31" s="2365"/>
      <c r="H31" s="2365"/>
      <c r="I31" s="2365"/>
      <c r="J31" s="2365"/>
      <c r="K31" s="2365"/>
      <c r="L31" s="2365"/>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2" t="s">
        <v>1154</v>
      </c>
      <c r="Z35" s="2362"/>
      <c r="AA35" s="2362"/>
      <c r="AB35" s="2362"/>
      <c r="AC35" s="2362"/>
      <c r="AD35" s="2363" t="s">
        <v>369</v>
      </c>
      <c r="AE35" s="2363"/>
      <c r="AF35" s="2363"/>
      <c r="AG35" s="2363"/>
      <c r="AH35" s="2363"/>
    </row>
    <row r="36" spans="1:76" ht="13" customHeight="1">
      <c r="B36" s="408"/>
      <c r="X36" s="413"/>
      <c r="Y36" s="2362"/>
      <c r="Z36" s="2362"/>
      <c r="AA36" s="2362"/>
      <c r="AB36" s="2362"/>
      <c r="AC36" s="2362"/>
      <c r="AD36" s="2363"/>
      <c r="AE36" s="2363"/>
      <c r="AF36" s="2363"/>
      <c r="AG36" s="2363"/>
      <c r="AH36" s="2363"/>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2"/>
      <c r="Z37" s="2362"/>
      <c r="AA37" s="2362"/>
      <c r="AB37" s="2362"/>
      <c r="AC37" s="2362"/>
      <c r="AD37" s="2363"/>
      <c r="AE37" s="2363"/>
      <c r="AF37" s="2363"/>
      <c r="AG37" s="2363"/>
      <c r="AH37" s="2363"/>
    </row>
    <row r="38" spans="1:76" ht="13" customHeight="1">
      <c r="A38" s="405"/>
      <c r="B38" s="2348" t="s">
        <v>506</v>
      </c>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50"/>
      <c r="Y38" s="2342">
        <f>IF(T24&gt;=(T23+Y23+AD23+AI23),T28+Y28,0)</f>
        <v>38287422</v>
      </c>
      <c r="Z38" s="2342"/>
      <c r="AA38" s="2342"/>
      <c r="AB38" s="2342"/>
      <c r="AC38" s="2342"/>
      <c r="AD38" s="2342">
        <f>IF(T24&gt;=(T23+Y23+AD23+AI23),AD28+AI28,0)</f>
        <v>0</v>
      </c>
      <c r="AE38" s="2342"/>
      <c r="AF38" s="2342"/>
      <c r="AG38" s="2342"/>
      <c r="AH38" s="2342"/>
    </row>
    <row r="39" spans="1:76" ht="13" customHeight="1">
      <c r="B39" s="2348" t="s">
        <v>1691</v>
      </c>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50"/>
      <c r="Y39" s="2364">
        <v>0.04</v>
      </c>
      <c r="Z39" s="2364"/>
      <c r="AA39" s="2364"/>
      <c r="AB39" s="2364"/>
      <c r="AC39" s="2364"/>
      <c r="AD39" s="2364">
        <v>0.04</v>
      </c>
      <c r="AE39" s="2364"/>
      <c r="AF39" s="2364"/>
      <c r="AG39" s="2364"/>
      <c r="AH39" s="2364"/>
    </row>
    <row r="40" spans="1:76" ht="13" customHeight="1">
      <c r="A40" s="405"/>
      <c r="B40" s="2348" t="s">
        <v>642</v>
      </c>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50"/>
      <c r="Y40" s="2342">
        <f>ROUND(Y38*Y39,0)</f>
        <v>1531497</v>
      </c>
      <c r="Z40" s="2342"/>
      <c r="AA40" s="2342"/>
      <c r="AB40" s="2342"/>
      <c r="AC40" s="2342"/>
      <c r="AD40" s="2361">
        <f>ROUND(AD38*AD39,0)</f>
        <v>0</v>
      </c>
      <c r="AE40" s="2342"/>
      <c r="AF40" s="2342"/>
      <c r="AG40" s="2342"/>
      <c r="AH40" s="2342"/>
    </row>
    <row r="41" spans="1:76" ht="13" customHeight="1">
      <c r="B41" s="2348" t="s">
        <v>643</v>
      </c>
      <c r="C41" s="2349"/>
      <c r="D41" s="2349"/>
      <c r="E41" s="2349"/>
      <c r="F41" s="2349"/>
      <c r="G41" s="2349"/>
      <c r="H41" s="2349"/>
      <c r="I41" s="2349"/>
      <c r="J41" s="2349"/>
      <c r="K41" s="2349"/>
      <c r="L41" s="2349"/>
      <c r="M41" s="2349"/>
      <c r="N41" s="2349"/>
      <c r="O41" s="2349"/>
      <c r="P41" s="2349"/>
      <c r="Q41" s="2349"/>
      <c r="R41" s="2349"/>
      <c r="S41" s="2349"/>
      <c r="T41" s="2349"/>
      <c r="U41" s="2349"/>
      <c r="V41" s="2349"/>
      <c r="W41" s="2349"/>
      <c r="X41" s="2350"/>
      <c r="Y41" s="2352">
        <f>Y40+AD40</f>
        <v>1531497</v>
      </c>
      <c r="Z41" s="2360"/>
      <c r="AA41" s="2360"/>
      <c r="AB41" s="2360"/>
      <c r="AC41" s="2360"/>
      <c r="AD41" s="2360"/>
      <c r="AE41" s="2360"/>
      <c r="AF41" s="2360"/>
      <c r="AG41" s="2360"/>
      <c r="AH41" s="2361"/>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9" t="s">
        <v>1276</v>
      </c>
      <c r="B44" s="2359"/>
      <c r="C44" s="2359"/>
      <c r="D44" s="2359"/>
      <c r="E44" s="2359"/>
      <c r="F44" s="2359"/>
      <c r="G44" s="2359"/>
      <c r="H44" s="2359"/>
      <c r="I44" s="2359"/>
      <c r="J44" s="2359"/>
      <c r="K44" s="2359"/>
      <c r="L44" s="2359"/>
      <c r="M44" s="2359"/>
      <c r="N44" s="2359"/>
      <c r="O44" s="2359"/>
      <c r="P44" s="2359"/>
      <c r="Q44" s="2359"/>
      <c r="R44" s="2359"/>
      <c r="S44" s="2359"/>
      <c r="T44" s="2359"/>
      <c r="U44" s="2359"/>
      <c r="V44" s="2359"/>
      <c r="W44" s="2359"/>
      <c r="X44" s="2359"/>
      <c r="Y44" s="2359"/>
      <c r="Z44" s="2359"/>
      <c r="AA44" s="2359"/>
      <c r="AB44" s="2359"/>
      <c r="AC44" s="2359"/>
      <c r="AD44" s="2359"/>
      <c r="AE44" s="2359"/>
      <c r="AF44" s="2359"/>
      <c r="AG44" s="2359"/>
      <c r="AH44" s="2359"/>
      <c r="AI44" s="2359"/>
      <c r="AJ44" s="2359"/>
      <c r="AK44" s="2359"/>
      <c r="AL44" s="2359"/>
      <c r="AM44" s="2359"/>
      <c r="AN44" s="2359"/>
      <c r="AO44" s="2359"/>
      <c r="AP44" s="2359"/>
      <c r="AQ44" s="2359"/>
      <c r="AR44" s="2359"/>
      <c r="AS44" s="2359"/>
      <c r="AT44" s="2359"/>
      <c r="AU44" s="2359"/>
      <c r="AV44" s="2359"/>
      <c r="AW44" s="2359"/>
      <c r="AX44" s="2359"/>
      <c r="AY44" s="2359"/>
      <c r="AZ44" s="2359"/>
      <c r="BA44" s="2359"/>
      <c r="BB44" s="2359"/>
      <c r="BC44" s="2359"/>
      <c r="BD44" s="2359"/>
      <c r="BE44" s="2359"/>
      <c r="BF44" s="2359"/>
      <c r="BG44" s="2359"/>
      <c r="BH44" s="2359"/>
      <c r="BI44" s="2359"/>
      <c r="BJ44" s="2359"/>
      <c r="BK44" s="2359"/>
      <c r="BL44" s="2359"/>
      <c r="BM44" s="2359"/>
      <c r="BN44" s="2359"/>
      <c r="BO44" s="2359"/>
      <c r="BP44" s="2359"/>
      <c r="BQ44" s="2359"/>
      <c r="BR44" s="2359"/>
      <c r="BS44" s="2359"/>
      <c r="BT44" s="2359"/>
      <c r="BU44" s="2359"/>
      <c r="BV44" s="2359"/>
      <c r="BW44" s="2359"/>
      <c r="BX44" s="2359"/>
    </row>
    <row r="45" spans="1:76" s="205" customFormat="1" ht="13" customHeight="1" thickTop="1"/>
    <row r="46" spans="1:76" ht="13" customHeight="1">
      <c r="A46" s="405" t="s">
        <v>586</v>
      </c>
      <c r="C46" s="405" t="s">
        <v>282</v>
      </c>
    </row>
    <row r="47" spans="1:76" ht="13" customHeight="1">
      <c r="D47" s="405" t="s">
        <v>283</v>
      </c>
      <c r="AB47" s="2356">
        <f>'Sources and Uses Budget'!B105-MAX(IF('Sources and Uses Budget'!B15="",0,'Sources and Uses Budget'!B15),IF(Application!AG394="",0,Application!AG394))</f>
        <v>42947189</v>
      </c>
      <c r="AC47" s="2357"/>
      <c r="AD47" s="2357"/>
      <c r="AE47" s="2357"/>
      <c r="AF47" s="2358"/>
    </row>
    <row r="48" spans="1:76" ht="13" customHeight="1">
      <c r="D48" s="405" t="s">
        <v>21</v>
      </c>
      <c r="AB48" s="2356">
        <f>Application!AO639-MAX(IF('Sources and Uses Budget'!B15="",0,'Sources and Uses Budget'!B15),IF(Application!AG394="",0,Application!AG394))</f>
        <v>30388915</v>
      </c>
      <c r="AC48" s="2357"/>
      <c r="AD48" s="2357"/>
      <c r="AE48" s="2357"/>
      <c r="AF48" s="2358"/>
    </row>
    <row r="49" spans="1:76" ht="13" customHeight="1">
      <c r="D49" s="405" t="s">
        <v>91</v>
      </c>
      <c r="AB49" s="2356">
        <f>AB47-AB48</f>
        <v>12558274</v>
      </c>
      <c r="AC49" s="2357"/>
      <c r="AD49" s="2357"/>
      <c r="AE49" s="2357"/>
      <c r="AF49" s="2358"/>
    </row>
    <row r="50" spans="1:76" ht="13" customHeight="1">
      <c r="D50" s="405" t="s">
        <v>681</v>
      </c>
      <c r="AA50" s="416"/>
      <c r="AB50" s="2344">
        <v>0.819999934704018</v>
      </c>
      <c r="AC50" s="2345"/>
      <c r="AD50" s="2345"/>
      <c r="AE50" s="2345"/>
      <c r="AF50" s="2346"/>
    </row>
    <row r="51" spans="1:76" s="418" customFormat="1" ht="13" customHeight="1">
      <c r="A51" s="403"/>
      <c r="B51" s="403"/>
      <c r="C51" s="403"/>
      <c r="D51" s="403"/>
      <c r="E51" s="2355" t="s">
        <v>1850</v>
      </c>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6">
        <f>ROUND(IF(ISERROR((AB49/AB50)),0,(AB49/AB50)),0)</f>
        <v>15314970</v>
      </c>
      <c r="AC54" s="2357"/>
      <c r="AD54" s="2357"/>
      <c r="AE54" s="2357"/>
      <c r="AF54" s="2358"/>
    </row>
    <row r="55" spans="1:76" ht="13" customHeight="1">
      <c r="D55" s="405" t="s">
        <v>333</v>
      </c>
      <c r="AB55" s="2356">
        <f>(AB54/10)</f>
        <v>1531497</v>
      </c>
      <c r="AC55" s="2357"/>
      <c r="AD55" s="2357"/>
      <c r="AE55" s="2357"/>
      <c r="AF55" s="2358"/>
    </row>
    <row r="56" spans="1:76" ht="13" customHeight="1">
      <c r="D56" s="405" t="s">
        <v>756</v>
      </c>
      <c r="AB56" s="2356">
        <f>ROUND((IF((Y41&lt;AB55),Y41,AB55)),0)</f>
        <v>1531497</v>
      </c>
      <c r="AC56" s="2357"/>
      <c r="AD56" s="2357"/>
      <c r="AE56" s="2357"/>
      <c r="AF56" s="2358"/>
    </row>
    <row r="57" spans="1:76" ht="13" customHeight="1">
      <c r="D57" s="405" t="s">
        <v>755</v>
      </c>
      <c r="AB57" s="2356">
        <f>ROUND((10*AB56*AB50),0)</f>
        <v>12558274</v>
      </c>
      <c r="AC57" s="2357"/>
      <c r="AD57" s="2357"/>
      <c r="AE57" s="2357"/>
      <c r="AF57" s="2358"/>
    </row>
    <row r="58" spans="1:76" ht="13" customHeight="1">
      <c r="D58" s="405"/>
      <c r="AB58" s="424"/>
      <c r="AC58" s="424"/>
      <c r="AD58" s="424"/>
      <c r="AE58" s="424"/>
      <c r="AF58" s="424"/>
    </row>
    <row r="59" spans="1:76" ht="13" customHeight="1">
      <c r="D59" s="405" t="s">
        <v>754</v>
      </c>
      <c r="AB59" s="2340">
        <f>AB49-AB57</f>
        <v>0</v>
      </c>
      <c r="AC59" s="2340"/>
      <c r="AD59" s="2340"/>
      <c r="AE59" s="2340"/>
      <c r="AF59" s="2340"/>
    </row>
    <row r="60" spans="1:76" ht="13" customHeight="1">
      <c r="D60" s="405"/>
      <c r="AB60" s="424"/>
      <c r="AC60" s="424"/>
      <c r="AD60" s="424"/>
      <c r="AE60" s="424"/>
      <c r="AF60" s="424"/>
    </row>
    <row r="61" spans="1:76" s="205" customFormat="1" ht="13" customHeight="1" thickBot="1">
      <c r="A61" s="2359" t="str">
        <f>IF(Application!AP205="yes","Farmworker State Credit", "State Credit" )</f>
        <v>State Credit</v>
      </c>
      <c r="B61" s="2359"/>
      <c r="C61" s="2359"/>
      <c r="D61" s="2359"/>
      <c r="E61" s="2359"/>
      <c r="F61" s="2359"/>
      <c r="G61" s="2359"/>
      <c r="H61" s="2359"/>
      <c r="I61" s="2359"/>
      <c r="J61" s="2359"/>
      <c r="K61" s="2359"/>
      <c r="L61" s="2359"/>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59"/>
      <c r="AX61" s="2359"/>
      <c r="AY61" s="2359"/>
      <c r="AZ61" s="2359"/>
      <c r="BA61" s="2359"/>
      <c r="BB61" s="2359"/>
      <c r="BC61" s="2359"/>
      <c r="BD61" s="2359"/>
      <c r="BE61" s="2359"/>
      <c r="BF61" s="2359"/>
      <c r="BG61" s="2359"/>
      <c r="BH61" s="2359"/>
      <c r="BI61" s="2359"/>
      <c r="BJ61" s="2359"/>
      <c r="BK61" s="2359"/>
      <c r="BL61" s="2359"/>
      <c r="BM61" s="2359"/>
      <c r="BN61" s="2359"/>
      <c r="BO61" s="2359"/>
      <c r="BP61" s="2359"/>
      <c r="BQ61" s="2359"/>
      <c r="BR61" s="2359"/>
      <c r="BS61" s="2359"/>
      <c r="BT61" s="2359"/>
      <c r="BU61" s="2359"/>
      <c r="BV61" s="2359"/>
      <c r="BW61" s="2359"/>
      <c r="BX61" s="2359"/>
    </row>
    <row r="62" spans="1:76" s="205" customFormat="1" ht="13" customHeight="1" thickTop="1"/>
    <row r="63" spans="1:76" ht="13" customHeight="1">
      <c r="A63" s="405" t="s">
        <v>589</v>
      </c>
      <c r="C63" s="206" t="s">
        <v>1248</v>
      </c>
      <c r="Y63" s="2351" t="s">
        <v>984</v>
      </c>
      <c r="Z63" s="2351"/>
      <c r="AA63" s="2351"/>
      <c r="AB63" s="2351"/>
      <c r="AC63" s="2351"/>
      <c r="AD63" s="2351" t="s">
        <v>369</v>
      </c>
      <c r="AE63" s="2351"/>
      <c r="AF63" s="2351"/>
      <c r="AG63" s="2351"/>
      <c r="AH63" s="2351"/>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52">
        <f>IF(Application!$Z$205="(select)",0,((T23*T27)+Y28))</f>
        <v>0</v>
      </c>
      <c r="Z64" s="2353"/>
      <c r="AA64" s="2353"/>
      <c r="AB64" s="2353"/>
      <c r="AC64" s="2354"/>
      <c r="AD64" s="2352">
        <f>IF(AND(OR(Application!D211="At-Risk",Application!D211="At-Risk and Special Needs"),Application!M358="yes"),AD28+AI28,0)</f>
        <v>0</v>
      </c>
      <c r="AE64" s="2353"/>
      <c r="AF64" s="2353"/>
      <c r="AG64" s="2353"/>
      <c r="AH64" s="2354"/>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41" cm="1">
        <f t="array" ref="Y67">_xlfn.IFS(OR(Application!Z205="State Farmworker Credit",Application!Z205="$500M (Farmworker Housing)"),0.75,Application!Z205="15% set-aside",0.13,Application!Z205="15% set-aside with qualifying low value rehab",0.95,Application!Z205="$500M",0.3,TRUE,0)</f>
        <v>0</v>
      </c>
      <c r="Z67" s="2341"/>
      <c r="AA67" s="2341"/>
      <c r="AB67" s="2341"/>
      <c r="AC67" s="2341"/>
      <c r="AD67" s="2341" cm="1">
        <f t="array" ref="AD67">_xlfn.IFS(Application!Z205="15% set-aside with qualifying low value rehab", 0.95,OR(Application!D211="At-Risk",'Points System'!B13="Yes"),0.13,TRUE,0)</f>
        <v>0</v>
      </c>
      <c r="AE67" s="2341"/>
      <c r="AF67" s="2341"/>
      <c r="AG67" s="2341"/>
      <c r="AH67" s="2341"/>
    </row>
    <row r="68" spans="1:36" ht="13" customHeight="1">
      <c r="C68" s="405"/>
      <c r="D68" s="206" t="s">
        <v>2228</v>
      </c>
      <c r="Y68" s="2342">
        <f>ROUND(Y64*Y67,0)</f>
        <v>0</v>
      </c>
      <c r="Z68" s="2343"/>
      <c r="AA68" s="2343"/>
      <c r="AB68" s="2343"/>
      <c r="AC68" s="2343"/>
      <c r="AD68" s="2342">
        <f>ROUND(AD64*AD67,0)</f>
        <v>0</v>
      </c>
      <c r="AE68" s="2343"/>
      <c r="AF68" s="2343"/>
      <c r="AG68" s="2343"/>
      <c r="AH68" s="2343"/>
    </row>
    <row r="69" spans="1:36" ht="13" customHeight="1">
      <c r="C69" s="405"/>
      <c r="D69" s="206" t="s">
        <v>2229</v>
      </c>
      <c r="Y69" s="2342">
        <f>IF(OR(Application!Z205="State Farmworker Credit",Application!Z205="$500M (Farmworker Housing)"),Y68+AD68,MIN(Y68+AD68,200000*(Application!G753+Application!O777)))</f>
        <v>0</v>
      </c>
      <c r="Z69" s="2342"/>
      <c r="AA69" s="2342"/>
      <c r="AB69" s="2342"/>
      <c r="AC69" s="2342"/>
      <c r="AD69" s="2342"/>
      <c r="AE69" s="2342"/>
      <c r="AF69" s="2342"/>
      <c r="AG69" s="2342"/>
      <c r="AH69" s="2342"/>
    </row>
    <row r="70" spans="1:36" ht="13" customHeight="1">
      <c r="C70" s="405"/>
      <c r="E70" s="405"/>
      <c r="AB70" s="423"/>
      <c r="AC70" s="423"/>
      <c r="AD70" s="423"/>
      <c r="AE70" s="423"/>
      <c r="AF70" s="423"/>
    </row>
    <row r="71" spans="1:36" ht="13" customHeight="1">
      <c r="A71" s="405" t="s">
        <v>590</v>
      </c>
      <c r="C71" s="206" t="s">
        <v>284</v>
      </c>
    </row>
    <row r="72" spans="1:36" ht="13" customHeight="1">
      <c r="A72" s="405"/>
      <c r="C72" s="405"/>
      <c r="D72" s="206" t="s">
        <v>1250</v>
      </c>
      <c r="AB72" s="2344"/>
      <c r="AC72" s="2345"/>
      <c r="AD72" s="2345"/>
      <c r="AE72" s="2345"/>
      <c r="AF72" s="2346"/>
    </row>
    <row r="73" spans="1:36" ht="13" customHeight="1">
      <c r="A73" s="405"/>
      <c r="C73" s="405"/>
      <c r="D73" s="405"/>
      <c r="E73" s="2347" t="s">
        <v>1251</v>
      </c>
      <c r="F73" s="2347"/>
      <c r="G73" s="2347"/>
      <c r="H73" s="2347"/>
      <c r="I73" s="2347"/>
      <c r="J73" s="2347"/>
      <c r="K73" s="2347"/>
      <c r="L73" s="2347"/>
      <c r="M73" s="2347"/>
      <c r="N73" s="2347"/>
      <c r="O73" s="2347"/>
      <c r="P73" s="2347"/>
      <c r="Q73" s="2347"/>
      <c r="R73" s="2347"/>
      <c r="S73" s="2347"/>
      <c r="T73" s="2347"/>
      <c r="U73" s="2347"/>
      <c r="V73" s="2347"/>
      <c r="W73" s="2347"/>
      <c r="X73" s="2347"/>
      <c r="Y73" s="2347"/>
      <c r="Z73" s="2347"/>
      <c r="AA73" s="2347"/>
      <c r="AB73" s="439"/>
      <c r="AC73" s="439"/>
    </row>
    <row r="74" spans="1:36" ht="13" customHeight="1">
      <c r="A74" s="405"/>
      <c r="C74" s="405"/>
      <c r="D74" s="405"/>
      <c r="E74" s="2347"/>
      <c r="F74" s="2347"/>
      <c r="G74" s="2347"/>
      <c r="H74" s="2347"/>
      <c r="I74" s="2347"/>
      <c r="J74" s="2347"/>
      <c r="K74" s="2347"/>
      <c r="L74" s="2347"/>
      <c r="M74" s="2347"/>
      <c r="N74" s="2347"/>
      <c r="O74" s="2347"/>
      <c r="P74" s="2347"/>
      <c r="Q74" s="2347"/>
      <c r="R74" s="2347"/>
      <c r="S74" s="2347"/>
      <c r="T74" s="2347"/>
      <c r="U74" s="2347"/>
      <c r="V74" s="2347"/>
      <c r="W74" s="2347"/>
      <c r="X74" s="2347"/>
      <c r="Y74" s="2347"/>
      <c r="Z74" s="2347"/>
      <c r="AA74" s="2347"/>
      <c r="AB74" s="439"/>
      <c r="AC74" s="439"/>
    </row>
    <row r="75" spans="1:36" ht="13" customHeight="1">
      <c r="A75" s="405"/>
      <c r="C75" s="405"/>
      <c r="D75" s="405"/>
      <c r="E75" s="2347"/>
      <c r="F75" s="2347"/>
      <c r="G75" s="2347"/>
      <c r="H75" s="2347"/>
      <c r="I75" s="2347"/>
      <c r="J75" s="2347"/>
      <c r="K75" s="2347"/>
      <c r="L75" s="2347"/>
      <c r="M75" s="2347"/>
      <c r="N75" s="2347"/>
      <c r="O75" s="2347"/>
      <c r="P75" s="2347"/>
      <c r="Q75" s="2347"/>
      <c r="R75" s="2347"/>
      <c r="S75" s="2347"/>
      <c r="T75" s="2347"/>
      <c r="U75" s="2347"/>
      <c r="V75" s="2347"/>
      <c r="W75" s="2347"/>
      <c r="X75" s="2347"/>
      <c r="Y75" s="2347"/>
      <c r="Z75" s="2347"/>
      <c r="AA75" s="2347"/>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335">
        <f>ROUND(IF(ISERROR((AB59/AB72)),0,(AB59/AB72)),0)</f>
        <v>0</v>
      </c>
      <c r="AC77" s="2335"/>
      <c r="AD77" s="2335"/>
      <c r="AE77" s="2335"/>
      <c r="AF77" s="2335"/>
    </row>
    <row r="78" spans="1:36" ht="13" customHeight="1">
      <c r="C78" s="405"/>
      <c r="D78" s="206" t="s">
        <v>1253</v>
      </c>
      <c r="AB78" s="2336">
        <f>ROUNDUP(MIN(Y69,AB77),0)</f>
        <v>0</v>
      </c>
      <c r="AC78" s="2337"/>
      <c r="AD78" s="2337"/>
      <c r="AE78" s="2337"/>
      <c r="AF78" s="2338"/>
    </row>
    <row r="79" spans="1:36" ht="13" customHeight="1">
      <c r="C79" s="405"/>
      <c r="D79" s="206" t="s">
        <v>1254</v>
      </c>
      <c r="AB79" s="2339">
        <f>AB78*AB72</f>
        <v>0</v>
      </c>
      <c r="AC79" s="2339"/>
      <c r="AD79" s="2339"/>
      <c r="AE79" s="2339"/>
      <c r="AF79" s="2339"/>
    </row>
    <row r="80" spans="1:36" ht="13" customHeight="1">
      <c r="C80" s="405"/>
      <c r="D80" s="405"/>
      <c r="AB80" s="426"/>
      <c r="AC80" s="426"/>
      <c r="AD80" s="426"/>
      <c r="AE80" s="426"/>
      <c r="AF80" s="426"/>
    </row>
    <row r="81" spans="1:78" ht="13" customHeight="1">
      <c r="D81" s="405" t="s">
        <v>754</v>
      </c>
      <c r="AB81" s="2340">
        <f>AB49-(AB57+AB79)</f>
        <v>0</v>
      </c>
      <c r="AC81" s="2340"/>
      <c r="AD81" s="2340"/>
      <c r="AE81" s="2340"/>
      <c r="AF81" s="2340"/>
    </row>
    <row r="82" spans="1:78" ht="13" customHeight="1">
      <c r="F82" s="523"/>
      <c r="J82" s="523" t="str">
        <f>IF(AB81&gt;0,"FUNDING GAP MUST NOT EXCEED ZERO","")</f>
        <v/>
      </c>
    </row>
    <row r="83" spans="1:78" ht="13" customHeight="1">
      <c r="D83" s="524"/>
    </row>
    <row r="84" spans="1:78" ht="13" customHeight="1" thickBot="1">
      <c r="A84" s="2359"/>
      <c r="B84" s="2359"/>
      <c r="C84" s="2359"/>
      <c r="D84" s="2359"/>
      <c r="E84" s="2359"/>
      <c r="F84" s="2359"/>
      <c r="G84" s="2359"/>
      <c r="H84" s="2359"/>
      <c r="I84" s="2359"/>
      <c r="J84" s="2359"/>
      <c r="K84" s="2359"/>
      <c r="L84" s="2359"/>
      <c r="M84" s="2359"/>
      <c r="N84" s="2359"/>
      <c r="O84" s="2359"/>
      <c r="P84" s="2359"/>
      <c r="Q84" s="2359"/>
      <c r="R84" s="2359"/>
      <c r="S84" s="2359"/>
      <c r="T84" s="2359"/>
      <c r="U84" s="2359"/>
      <c r="V84" s="2359"/>
      <c r="W84" s="2359"/>
      <c r="X84" s="2359"/>
      <c r="Y84" s="2359"/>
      <c r="Z84" s="2359"/>
      <c r="AA84" s="2359"/>
      <c r="AB84" s="2359"/>
      <c r="AC84" s="2359"/>
      <c r="AD84" s="2359"/>
      <c r="AE84" s="2359"/>
      <c r="AF84" s="2359"/>
      <c r="AG84" s="2359"/>
      <c r="AH84" s="2359"/>
      <c r="AI84" s="2359"/>
      <c r="AJ84" s="2359"/>
      <c r="AK84" s="2359"/>
      <c r="AL84" s="2359"/>
      <c r="AM84" s="2359"/>
      <c r="AN84" s="2359"/>
      <c r="AO84" s="2359"/>
      <c r="AP84" s="2359"/>
      <c r="AQ84" s="2359"/>
      <c r="AR84" s="2359"/>
      <c r="AS84" s="2359"/>
      <c r="AT84" s="2359"/>
      <c r="AU84" s="2359"/>
      <c r="AV84" s="2359"/>
      <c r="AW84" s="2359"/>
      <c r="AX84" s="2359"/>
      <c r="AY84" s="2359"/>
      <c r="AZ84" s="2359"/>
      <c r="BA84" s="2359"/>
      <c r="BB84" s="2359"/>
      <c r="BC84" s="2359"/>
      <c r="BD84" s="2359"/>
      <c r="BE84" s="2359"/>
      <c r="BF84" s="2359"/>
      <c r="BG84" s="2359"/>
      <c r="BH84" s="2359"/>
      <c r="BI84" s="2359"/>
      <c r="BJ84" s="2359"/>
      <c r="BK84" s="2359"/>
      <c r="BL84" s="2359"/>
      <c r="BM84" s="2359"/>
      <c r="BN84" s="2359"/>
      <c r="BO84" s="2359"/>
      <c r="BP84" s="2359"/>
      <c r="BQ84" s="2359"/>
      <c r="BR84" s="2359"/>
      <c r="BS84" s="2359"/>
      <c r="BT84" s="2359"/>
      <c r="BU84" s="2359"/>
      <c r="BV84" s="2359"/>
      <c r="BW84" s="2359"/>
      <c r="BX84" s="2359"/>
    </row>
    <row r="85" spans="1:78" ht="13" customHeight="1" thickTop="1"/>
    <row r="86" spans="1:78" ht="13" customHeight="1">
      <c r="A86" s="405"/>
      <c r="C86" s="206"/>
    </row>
    <row r="87" spans="1:78" ht="13" customHeight="1">
      <c r="D87" s="206"/>
      <c r="AB87" s="2391"/>
      <c r="AC87" s="2391"/>
      <c r="AD87" s="2391"/>
      <c r="AE87" s="2391"/>
      <c r="AF87" s="2391"/>
    </row>
    <row r="88" spans="1:78" ht="13" customHeight="1" thickBot="1">
      <c r="D88" s="206"/>
      <c r="AB88" s="2390"/>
      <c r="AC88" s="2390"/>
      <c r="AD88" s="2390"/>
      <c r="AE88" s="2390"/>
      <c r="AF88" s="2390"/>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33" t="s">
        <v>1300</v>
      </c>
      <c r="B1" s="2433"/>
      <c r="C1" s="2433"/>
      <c r="D1" s="2433"/>
      <c r="E1" s="2433"/>
      <c r="F1" s="2433"/>
      <c r="G1" s="2433"/>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c r="AH1" s="2433"/>
      <c r="AI1" s="2433"/>
      <c r="AJ1" s="2433"/>
      <c r="AK1" s="2433"/>
      <c r="AL1" s="2433"/>
      <c r="AM1" s="2433"/>
    </row>
    <row r="2" spans="1:42" s="537" customFormat="1" ht="12.75" customHeight="1" thickBot="1">
      <c r="A2" s="2434"/>
      <c r="B2" s="2434"/>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4" t="s">
        <v>1305</v>
      </c>
      <c r="AF7" s="2414"/>
      <c r="AG7" s="2414"/>
      <c r="AH7" s="2414"/>
      <c r="AI7" s="2414"/>
      <c r="AJ7" s="2414"/>
      <c r="AK7" s="2414"/>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04" t="s">
        <v>591</v>
      </c>
      <c r="C13" s="2404"/>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5"/>
      <c r="AH13" s="2435"/>
      <c r="AI13" s="2435"/>
      <c r="AJ13" s="2436"/>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04" t="s">
        <v>591</v>
      </c>
      <c r="C16" s="2404"/>
      <c r="D16" s="548"/>
      <c r="E16" s="2415" t="s">
        <v>1307</v>
      </c>
      <c r="F16" s="2416"/>
      <c r="G16" s="2416"/>
      <c r="H16" s="2416"/>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7"/>
      <c r="AK16" s="541"/>
      <c r="AL16" s="541"/>
      <c r="AM16" s="541"/>
      <c r="AN16" s="536"/>
      <c r="AO16" s="551">
        <f>IF($B25="yes",20,0)</f>
        <v>0</v>
      </c>
      <c r="AP16" s="14"/>
    </row>
    <row r="17" spans="1:42" s="537" customFormat="1" ht="12.75" customHeight="1">
      <c r="A17" s="541"/>
      <c r="B17" s="541"/>
      <c r="C17" s="541"/>
      <c r="D17" s="552"/>
      <c r="E17" s="2418"/>
      <c r="F17" s="2419"/>
      <c r="G17" s="2419"/>
      <c r="H17" s="2419"/>
      <c r="I17" s="2419"/>
      <c r="J17" s="2419"/>
      <c r="K17" s="2419"/>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20"/>
      <c r="AK17" s="541"/>
      <c r="AL17" s="541"/>
      <c r="AM17" s="541"/>
      <c r="AN17" s="536"/>
      <c r="AO17" s="551">
        <f>IF($B28="yes",20,0)</f>
        <v>0</v>
      </c>
    </row>
    <row r="18" spans="1:42" s="537" customFormat="1" ht="12.75" customHeight="1">
      <c r="A18" s="541"/>
      <c r="B18" s="541"/>
      <c r="C18" s="541"/>
      <c r="D18" s="552"/>
      <c r="E18" s="2418"/>
      <c r="F18" s="2419"/>
      <c r="G18" s="2419"/>
      <c r="H18" s="2419"/>
      <c r="I18" s="2419"/>
      <c r="J18" s="2419"/>
      <c r="K18" s="2419"/>
      <c r="L18" s="2419"/>
      <c r="M18" s="2419"/>
      <c r="N18" s="2419"/>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2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6"/>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8"/>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04" t="s">
        <v>591</v>
      </c>
      <c r="C22" s="2404"/>
      <c r="D22" s="548"/>
      <c r="E22" s="2440" t="s">
        <v>1310</v>
      </c>
      <c r="F22" s="2441"/>
      <c r="G22" s="2441"/>
      <c r="H22" s="2441"/>
      <c r="I22" s="2441"/>
      <c r="J22" s="2441"/>
      <c r="K22" s="2441"/>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2"/>
      <c r="AK22" s="541"/>
      <c r="AL22" s="541"/>
      <c r="AM22" s="541"/>
      <c r="AN22" s="536"/>
      <c r="AO22" s="551">
        <f>IF($B40="yes",14,0)</f>
        <v>0</v>
      </c>
    </row>
    <row r="23" spans="1:42" s="537" customFormat="1" ht="12.75" customHeight="1">
      <c r="A23" s="541"/>
      <c r="B23" s="541"/>
      <c r="C23" s="541"/>
      <c r="D23" s="551"/>
      <c r="E23" s="2443"/>
      <c r="F23" s="2444"/>
      <c r="G23" s="2444"/>
      <c r="H23" s="2444"/>
      <c r="I23" s="2444"/>
      <c r="J23" s="2444"/>
      <c r="K23" s="2444"/>
      <c r="L23" s="2444"/>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5"/>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04" t="s">
        <v>591</v>
      </c>
      <c r="C25" s="2404"/>
      <c r="D25" s="548"/>
      <c r="E25" s="2405" t="s">
        <v>2035</v>
      </c>
      <c r="F25" s="2406"/>
      <c r="G25" s="2406"/>
      <c r="H25" s="2406"/>
      <c r="I25" s="2406"/>
      <c r="J25" s="2406"/>
      <c r="K25" s="2406"/>
      <c r="L25" s="240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7"/>
      <c r="AK25" s="541"/>
      <c r="AL25" s="541"/>
      <c r="AM25" s="541"/>
      <c r="AN25" s="536"/>
      <c r="AO25" s="551">
        <f>IF($B45="yes",6,0)</f>
        <v>0</v>
      </c>
    </row>
    <row r="26" spans="1:42" s="537" customFormat="1" ht="12.75" customHeight="1">
      <c r="A26" s="541"/>
      <c r="B26" s="541"/>
      <c r="C26" s="541"/>
      <c r="D26" s="551"/>
      <c r="E26" s="2408"/>
      <c r="F26" s="2409"/>
      <c r="G26" s="2409"/>
      <c r="H26" s="2409"/>
      <c r="I26" s="2409"/>
      <c r="J26" s="2409"/>
      <c r="K26" s="2409"/>
      <c r="L26" s="2409"/>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10"/>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04" t="s">
        <v>591</v>
      </c>
      <c r="C28" s="2404"/>
      <c r="D28" s="548"/>
      <c r="E28" s="2428" t="s">
        <v>2252</v>
      </c>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3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404" t="s">
        <v>591</v>
      </c>
      <c r="C33" s="2404"/>
      <c r="D33" s="548"/>
      <c r="E33" s="2440" t="s">
        <v>2254</v>
      </c>
      <c r="F33" s="2441"/>
      <c r="G33" s="2441"/>
      <c r="H33" s="2441"/>
      <c r="I33" s="2441"/>
      <c r="J33" s="2441"/>
      <c r="K33" s="2441"/>
      <c r="L33" s="2441"/>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2"/>
      <c r="AK33" s="541"/>
      <c r="AL33" s="541"/>
      <c r="AM33" s="541"/>
      <c r="AN33" s="536"/>
      <c r="AO33" s="551"/>
    </row>
    <row r="34" spans="1:41" s="537" customFormat="1" ht="12.75" customHeight="1">
      <c r="A34" s="541"/>
      <c r="B34" s="541"/>
      <c r="C34" s="541"/>
      <c r="E34" s="2443"/>
      <c r="F34" s="2444"/>
      <c r="G34" s="2444"/>
      <c r="H34" s="2444"/>
      <c r="I34" s="2444"/>
      <c r="J34" s="2444"/>
      <c r="K34" s="2444"/>
      <c r="L34" s="2444"/>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5"/>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04" t="s">
        <v>591</v>
      </c>
      <c r="C36" s="2404"/>
      <c r="D36" s="548"/>
      <c r="E36" s="2405" t="s">
        <v>2255</v>
      </c>
      <c r="F36" s="2406"/>
      <c r="G36" s="2406"/>
      <c r="H36" s="2406"/>
      <c r="I36" s="2406"/>
      <c r="J36" s="2406"/>
      <c r="K36" s="2406"/>
      <c r="L36" s="2406"/>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7"/>
      <c r="AK36" s="541"/>
      <c r="AL36" s="541"/>
      <c r="AM36" s="541"/>
      <c r="AN36" s="536"/>
    </row>
    <row r="37" spans="1:41" s="537" customFormat="1" ht="12.75" customHeight="1">
      <c r="A37" s="541"/>
      <c r="B37" s="541"/>
      <c r="C37" s="541"/>
      <c r="E37" s="2411"/>
      <c r="F37" s="2412"/>
      <c r="G37" s="2412"/>
      <c r="H37" s="2412"/>
      <c r="I37" s="2412"/>
      <c r="J37" s="2412"/>
      <c r="K37" s="2412"/>
      <c r="L37" s="241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3"/>
      <c r="AK37" s="541"/>
      <c r="AL37" s="541"/>
      <c r="AM37" s="541"/>
      <c r="AN37" s="536"/>
    </row>
    <row r="38" spans="1:41" s="537" customFormat="1" ht="12.75" customHeight="1">
      <c r="A38" s="541"/>
      <c r="B38" s="541"/>
      <c r="C38" s="541"/>
      <c r="E38" s="2408"/>
      <c r="F38" s="2409"/>
      <c r="G38" s="2409"/>
      <c r="H38" s="2409"/>
      <c r="I38" s="2409"/>
      <c r="J38" s="2409"/>
      <c r="K38" s="2409"/>
      <c r="L38" s="2409"/>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1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04" t="s">
        <v>591</v>
      </c>
      <c r="C40" s="2404"/>
      <c r="D40" s="548"/>
      <c r="E40" s="2405" t="s">
        <v>2253</v>
      </c>
      <c r="F40" s="2406"/>
      <c r="G40" s="2406"/>
      <c r="H40" s="2406"/>
      <c r="I40" s="2406"/>
      <c r="J40" s="2406"/>
      <c r="K40" s="2406"/>
      <c r="L40" s="240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7"/>
      <c r="AK40" s="541"/>
      <c r="AL40" s="541"/>
      <c r="AM40" s="541"/>
      <c r="AN40" s="536"/>
    </row>
    <row r="41" spans="1:41" s="537" customFormat="1" ht="12.75" customHeight="1">
      <c r="A41" s="541"/>
      <c r="B41" s="541"/>
      <c r="C41" s="541"/>
      <c r="E41" s="2408"/>
      <c r="F41" s="2409"/>
      <c r="G41" s="2409"/>
      <c r="H41" s="2409"/>
      <c r="I41" s="2409"/>
      <c r="J41" s="2409"/>
      <c r="K41" s="2409"/>
      <c r="L41" s="2409"/>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1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04" t="s">
        <v>591</v>
      </c>
      <c r="C45" s="2404"/>
      <c r="D45" s="1144"/>
      <c r="E45" s="2405" t="s">
        <v>2010</v>
      </c>
      <c r="F45" s="2406"/>
      <c r="G45" s="2406"/>
      <c r="H45" s="2406"/>
      <c r="I45" s="2406"/>
      <c r="J45" s="2406"/>
      <c r="K45" s="2406"/>
      <c r="L45" s="240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7"/>
      <c r="AK45" s="1144"/>
      <c r="AL45" s="541"/>
      <c r="AM45" s="541"/>
      <c r="AN45" s="536"/>
    </row>
    <row r="46" spans="1:41" s="537" customFormat="1" ht="12.75" customHeight="1">
      <c r="A46" s="541"/>
      <c r="B46" s="541"/>
      <c r="C46" s="541"/>
      <c r="E46" s="2411"/>
      <c r="F46" s="2412"/>
      <c r="G46" s="2412"/>
      <c r="H46" s="2412"/>
      <c r="I46" s="2412"/>
      <c r="J46" s="2412"/>
      <c r="K46" s="2412"/>
      <c r="L46" s="241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3"/>
      <c r="AK46" s="541"/>
      <c r="AL46" s="541"/>
      <c r="AM46" s="541"/>
      <c r="AN46" s="536"/>
    </row>
    <row r="47" spans="1:41" s="537" customFormat="1" ht="12.75" customHeight="1">
      <c r="A47" s="541"/>
      <c r="D47" s="548"/>
      <c r="E47" s="2408"/>
      <c r="F47" s="2409"/>
      <c r="G47" s="2409"/>
      <c r="H47" s="2409"/>
      <c r="I47" s="2409"/>
      <c r="J47" s="2409"/>
      <c r="K47" s="2409"/>
      <c r="L47" s="2409"/>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1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04" t="s">
        <v>591</v>
      </c>
      <c r="C52" s="2404"/>
      <c r="D52" s="541"/>
      <c r="E52" s="2405" t="s">
        <v>2015</v>
      </c>
      <c r="F52" s="2406"/>
      <c r="G52" s="2406"/>
      <c r="H52" s="2406"/>
      <c r="I52" s="2406"/>
      <c r="J52" s="2406"/>
      <c r="K52" s="2406"/>
      <c r="L52" s="2406"/>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7"/>
      <c r="AK52" s="541"/>
      <c r="AL52" s="541"/>
      <c r="AM52" s="541"/>
      <c r="AN52" s="536"/>
      <c r="AO52" s="560"/>
    </row>
    <row r="53" spans="1:50" s="537" customFormat="1" ht="12.75" customHeight="1">
      <c r="A53" s="541"/>
      <c r="D53" s="548"/>
      <c r="E53" s="2411"/>
      <c r="F53" s="2412"/>
      <c r="G53" s="2412"/>
      <c r="H53" s="2412"/>
      <c r="I53" s="2412"/>
      <c r="J53" s="2412"/>
      <c r="K53" s="2412"/>
      <c r="L53" s="2412"/>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3"/>
      <c r="AK53" s="541"/>
      <c r="AL53" s="541"/>
      <c r="AM53" s="541"/>
      <c r="AN53" s="536"/>
      <c r="AO53" s="560"/>
    </row>
    <row r="54" spans="1:50" s="537" customFormat="1" ht="12.75" customHeight="1">
      <c r="A54" s="541"/>
      <c r="D54" s="541"/>
      <c r="E54" s="2408"/>
      <c r="F54" s="2409"/>
      <c r="G54" s="2409"/>
      <c r="H54" s="2409"/>
      <c r="I54" s="2409"/>
      <c r="J54" s="2409"/>
      <c r="K54" s="2409"/>
      <c r="L54" s="2409"/>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1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04" t="s">
        <v>591</v>
      </c>
      <c r="C56" s="2404"/>
      <c r="D56" s="541"/>
      <c r="E56" s="2425" t="s">
        <v>2016</v>
      </c>
      <c r="F56" s="2426"/>
      <c r="G56" s="2426"/>
      <c r="H56" s="2426"/>
      <c r="I56" s="2426"/>
      <c r="J56" s="2426"/>
      <c r="K56" s="2426"/>
      <c r="L56" s="2426"/>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04" t="s">
        <v>591</v>
      </c>
      <c r="C58" s="2404"/>
      <c r="D58" s="541"/>
      <c r="E58" s="2405" t="s">
        <v>2017</v>
      </c>
      <c r="F58" s="2406"/>
      <c r="G58" s="2406"/>
      <c r="H58" s="2406"/>
      <c r="I58" s="2406"/>
      <c r="J58" s="2406"/>
      <c r="K58" s="2406"/>
      <c r="L58" s="2406"/>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7"/>
      <c r="AK58" s="541"/>
      <c r="AL58" s="541"/>
      <c r="AM58" s="541"/>
      <c r="AN58" s="536"/>
    </row>
    <row r="59" spans="1:50" s="537" customFormat="1" ht="12.75" customHeight="1">
      <c r="A59" s="541"/>
      <c r="B59" s="548"/>
      <c r="C59" s="548"/>
      <c r="D59" s="548"/>
      <c r="E59" s="2408"/>
      <c r="F59" s="2409"/>
      <c r="G59" s="2409"/>
      <c r="H59" s="2409"/>
      <c r="I59" s="2409"/>
      <c r="J59" s="2409"/>
      <c r="K59" s="2409"/>
      <c r="L59" s="2409"/>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1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37">
        <f>AO39</f>
        <v>0</v>
      </c>
      <c r="AL62" s="2438"/>
      <c r="AM62" s="243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4" t="s">
        <v>1314</v>
      </c>
      <c r="AF65" s="2414"/>
      <c r="AG65" s="2414"/>
      <c r="AH65" s="2414"/>
      <c r="AI65" s="2414"/>
      <c r="AJ65" s="2414"/>
      <c r="AK65" s="2414"/>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04" t="s">
        <v>591</v>
      </c>
      <c r="C68" s="2404"/>
      <c r="D68" s="548" t="s">
        <v>1315</v>
      </c>
      <c r="E68" s="2415" t="s">
        <v>2018</v>
      </c>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4"/>
      <c r="AL68" s="541"/>
      <c r="AM68" s="541"/>
      <c r="AN68" s="536"/>
      <c r="AO68" s="551">
        <f>IF($B68="yes",10,0)</f>
        <v>0</v>
      </c>
    </row>
    <row r="69" spans="1:42" s="537" customFormat="1" ht="12.75" customHeight="1">
      <c r="A69" s="539"/>
      <c r="B69" s="541"/>
      <c r="C69" s="541"/>
      <c r="D69" s="552"/>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4"/>
      <c r="AL69" s="541"/>
      <c r="AM69" s="541"/>
      <c r="AN69" s="536"/>
      <c r="AO69" s="551">
        <f>IF($B74="yes",10,0)</f>
        <v>10</v>
      </c>
    </row>
    <row r="70" spans="1:42" s="537" customFormat="1" ht="12.75" customHeight="1">
      <c r="A70" s="539"/>
      <c r="B70" s="541"/>
      <c r="C70" s="541"/>
      <c r="D70" s="552"/>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4"/>
      <c r="AL70" s="541"/>
      <c r="AM70" s="541"/>
      <c r="AN70" s="536"/>
      <c r="AO70" s="551">
        <f>IF($B81="yes",10,0)</f>
        <v>0</v>
      </c>
    </row>
    <row r="71" spans="1:42" s="537" customFormat="1" ht="12.75" customHeight="1">
      <c r="A71" s="539"/>
      <c r="B71" s="541"/>
      <c r="C71" s="541"/>
      <c r="D71" s="552"/>
      <c r="E71" s="2418"/>
      <c r="F71" s="2419"/>
      <c r="G71" s="2419"/>
      <c r="H71" s="2419"/>
      <c r="I71" s="2419"/>
      <c r="J71" s="2419"/>
      <c r="K71" s="2419"/>
      <c r="L71" s="2419"/>
      <c r="M71" s="2419"/>
      <c r="N71" s="2419"/>
      <c r="O71" s="2419"/>
      <c r="P71" s="2419"/>
      <c r="Q71" s="2419"/>
      <c r="R71" s="2419"/>
      <c r="S71" s="2419"/>
      <c r="T71" s="2419"/>
      <c r="U71" s="2419"/>
      <c r="V71" s="2419"/>
      <c r="W71" s="2419"/>
      <c r="X71" s="2419"/>
      <c r="Y71" s="2419"/>
      <c r="Z71" s="2419"/>
      <c r="AA71" s="2419"/>
      <c r="AB71" s="2419"/>
      <c r="AC71" s="2419"/>
      <c r="AD71" s="2419"/>
      <c r="AE71" s="2419"/>
      <c r="AF71" s="2419"/>
      <c r="AG71" s="2419"/>
      <c r="AH71" s="2419"/>
      <c r="AI71" s="2419"/>
      <c r="AJ71" s="2420"/>
      <c r="AK71" s="544"/>
      <c r="AL71" s="541"/>
      <c r="AM71" s="541"/>
      <c r="AN71" s="536"/>
      <c r="AO71" s="537">
        <f>IF(SUM(AO68:AO70)&gt;10,10,(SUM(AO68:AO70)))</f>
        <v>10</v>
      </c>
      <c r="AP71" s="575" t="s">
        <v>1316</v>
      </c>
    </row>
    <row r="72" spans="1:42" s="537" customFormat="1" ht="12.75" customHeight="1">
      <c r="A72" s="539"/>
      <c r="B72" s="541"/>
      <c r="C72" s="541"/>
      <c r="D72" s="552"/>
      <c r="E72" s="2421"/>
      <c r="F72" s="2422"/>
      <c r="G72" s="2422"/>
      <c r="H72" s="2422"/>
      <c r="I72" s="2422"/>
      <c r="J72" s="2422"/>
      <c r="K72" s="2422"/>
      <c r="L72" s="2422"/>
      <c r="M72" s="2422"/>
      <c r="N72" s="2422"/>
      <c r="O72" s="2422"/>
      <c r="P72" s="2422"/>
      <c r="Q72" s="2422"/>
      <c r="R72" s="2422"/>
      <c r="S72" s="2422"/>
      <c r="T72" s="2422"/>
      <c r="U72" s="2422"/>
      <c r="V72" s="2422"/>
      <c r="W72" s="2422"/>
      <c r="X72" s="2422"/>
      <c r="Y72" s="2422"/>
      <c r="Z72" s="2422"/>
      <c r="AA72" s="2422"/>
      <c r="AB72" s="2422"/>
      <c r="AC72" s="2422"/>
      <c r="AD72" s="2422"/>
      <c r="AE72" s="2422"/>
      <c r="AF72" s="2422"/>
      <c r="AG72" s="2422"/>
      <c r="AH72" s="2422"/>
      <c r="AI72" s="2422"/>
      <c r="AJ72" s="242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04" t="s">
        <v>545</v>
      </c>
      <c r="C74" s="2404"/>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24" t="s">
        <v>591</v>
      </c>
      <c r="F75" s="2404"/>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02" t="s">
        <v>591</v>
      </c>
      <c r="F76" s="2403"/>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02" t="s">
        <v>591</v>
      </c>
      <c r="F77" s="2403"/>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24" t="s">
        <v>545</v>
      </c>
      <c r="F79" s="2404"/>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04" t="s">
        <v>591</v>
      </c>
      <c r="C81" s="2404"/>
      <c r="D81" s="548" t="s">
        <v>1320</v>
      </c>
      <c r="E81" s="2405" t="s">
        <v>1740</v>
      </c>
      <c r="F81" s="2406"/>
      <c r="G81" s="2406"/>
      <c r="H81" s="2406"/>
      <c r="I81" s="2406"/>
      <c r="J81" s="2406"/>
      <c r="K81" s="2406"/>
      <c r="L81" s="2406"/>
      <c r="M81" s="2406"/>
      <c r="N81" s="2406"/>
      <c r="O81" s="2406"/>
      <c r="P81" s="2406"/>
      <c r="Q81" s="2406"/>
      <c r="R81" s="2406"/>
      <c r="S81" s="2406"/>
      <c r="T81" s="2406"/>
      <c r="U81" s="2406"/>
      <c r="V81" s="2406"/>
      <c r="W81" s="2406"/>
      <c r="X81" s="2406"/>
      <c r="Y81" s="2406"/>
      <c r="Z81" s="2406"/>
      <c r="AA81" s="2406"/>
      <c r="AB81" s="2406"/>
      <c r="AC81" s="2406"/>
      <c r="AD81" s="2406"/>
      <c r="AE81" s="2406"/>
      <c r="AF81" s="2406"/>
      <c r="AG81" s="2406"/>
      <c r="AH81" s="2406"/>
      <c r="AI81" s="2406"/>
      <c r="AJ81" s="2407"/>
      <c r="AK81" s="544"/>
      <c r="AL81" s="541"/>
      <c r="AM81" s="541"/>
      <c r="AN81" s="536"/>
    </row>
    <row r="82" spans="1:43" s="537" customFormat="1" ht="12.75" customHeight="1">
      <c r="A82" s="539"/>
      <c r="B82" s="541"/>
      <c r="C82" s="541"/>
      <c r="D82" s="551"/>
      <c r="E82" s="2408"/>
      <c r="F82" s="2409"/>
      <c r="G82" s="2409"/>
      <c r="H82" s="2409"/>
      <c r="I82" s="2409"/>
      <c r="J82" s="2409"/>
      <c r="K82" s="2409"/>
      <c r="L82" s="2409"/>
      <c r="M82" s="2409"/>
      <c r="N82" s="2409"/>
      <c r="O82" s="2409"/>
      <c r="P82" s="2409"/>
      <c r="Q82" s="2409"/>
      <c r="R82" s="2409"/>
      <c r="S82" s="2409"/>
      <c r="T82" s="2409"/>
      <c r="U82" s="2409"/>
      <c r="V82" s="2409"/>
      <c r="W82" s="2409"/>
      <c r="X82" s="2409"/>
      <c r="Y82" s="2409"/>
      <c r="Z82" s="2409"/>
      <c r="AA82" s="2409"/>
      <c r="AB82" s="2409"/>
      <c r="AC82" s="2409"/>
      <c r="AD82" s="2409"/>
      <c r="AE82" s="2409"/>
      <c r="AF82" s="2409"/>
      <c r="AG82" s="2409"/>
      <c r="AH82" s="2409"/>
      <c r="AI82" s="2409"/>
      <c r="AJ82" s="241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37">
        <f>IF(AK62&gt;0,0,AO71)</f>
        <v>10</v>
      </c>
      <c r="AL84" s="2438"/>
      <c r="AM84" s="243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4" t="s">
        <v>1305</v>
      </c>
      <c r="AF87" s="2414"/>
      <c r="AG87" s="2414"/>
      <c r="AH87" s="2414"/>
      <c r="AI87" s="2414"/>
      <c r="AJ87" s="2414"/>
      <c r="AK87" s="2414"/>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04" t="s">
        <v>545</v>
      </c>
      <c r="C90" s="2404"/>
      <c r="D90" s="548" t="s">
        <v>1315</v>
      </c>
      <c r="E90" s="2415" t="s">
        <v>1325</v>
      </c>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4"/>
      <c r="AL90" s="541"/>
      <c r="AM90" s="541"/>
      <c r="AN90" s="536"/>
    </row>
    <row r="91" spans="1:43" s="537" customFormat="1" ht="12.75" customHeight="1">
      <c r="A91" s="539"/>
      <c r="B91" s="540"/>
      <c r="C91" s="540"/>
      <c r="D91" s="540"/>
      <c r="E91" s="2418"/>
      <c r="F91" s="2419"/>
      <c r="G91" s="2419"/>
      <c r="H91" s="2419"/>
      <c r="I91" s="2419"/>
      <c r="J91" s="2419"/>
      <c r="K91" s="2419"/>
      <c r="L91" s="2419"/>
      <c r="M91" s="2419"/>
      <c r="N91" s="2419"/>
      <c r="O91" s="2419"/>
      <c r="P91" s="2419"/>
      <c r="Q91" s="2419"/>
      <c r="R91" s="2419"/>
      <c r="S91" s="2419"/>
      <c r="T91" s="2419"/>
      <c r="U91" s="2419"/>
      <c r="V91" s="2419"/>
      <c r="W91" s="2419"/>
      <c r="X91" s="2419"/>
      <c r="Y91" s="2419"/>
      <c r="Z91" s="2419"/>
      <c r="AA91" s="2419"/>
      <c r="AB91" s="2419"/>
      <c r="AC91" s="2419"/>
      <c r="AD91" s="2419"/>
      <c r="AE91" s="2419"/>
      <c r="AF91" s="2419"/>
      <c r="AG91" s="2419"/>
      <c r="AH91" s="2419"/>
      <c r="AI91" s="2419"/>
      <c r="AJ91" s="242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8">
        <f>Application!AC753</f>
        <v>0.39999999999999991</v>
      </c>
      <c r="F93" s="2399"/>
      <c r="G93" s="2399"/>
      <c r="H93" s="2399"/>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400">
        <f>0.6-ROUNDUP(E93,2)</f>
        <v>0.19999999999999996</v>
      </c>
      <c r="F94" s="2401"/>
      <c r="G94" s="2401"/>
      <c r="H94" s="2401"/>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31">
        <f>IF(E94*200&gt;20,20,E94*200)</f>
        <v>20</v>
      </c>
      <c r="F95" s="2432"/>
      <c r="G95" s="2432"/>
      <c r="H95" s="2432"/>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04" t="s">
        <v>591</v>
      </c>
      <c r="C98" s="2404"/>
      <c r="D98" s="548" t="s">
        <v>1317</v>
      </c>
      <c r="E98" s="2415" t="s">
        <v>1725</v>
      </c>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4"/>
      <c r="AL98" s="541"/>
      <c r="AM98" s="541"/>
      <c r="AN98" s="536"/>
    </row>
    <row r="99" spans="1:47" s="537" customFormat="1" ht="12.75" customHeight="1">
      <c r="A99" s="539"/>
      <c r="B99" s="540"/>
      <c r="C99" s="540"/>
      <c r="D99" s="540"/>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4"/>
      <c r="AL99" s="541"/>
      <c r="AM99" s="541"/>
      <c r="AN99" s="536"/>
    </row>
    <row r="100" spans="1:47" s="537" customFormat="1" ht="12.75" customHeight="1">
      <c r="A100" s="539"/>
      <c r="B100" s="540"/>
      <c r="C100" s="540"/>
      <c r="D100" s="540"/>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4"/>
      <c r="AL100" s="541"/>
      <c r="AM100" s="541"/>
      <c r="AN100" s="536"/>
    </row>
    <row r="101" spans="1:47" s="537" customFormat="1" ht="12.75" customHeight="1">
      <c r="A101" s="539"/>
      <c r="B101" s="540"/>
      <c r="C101" s="540"/>
      <c r="D101" s="540"/>
      <c r="E101" s="2418"/>
      <c r="F101" s="2419"/>
      <c r="G101" s="2419"/>
      <c r="H101" s="2419"/>
      <c r="I101" s="2419"/>
      <c r="J101" s="2419"/>
      <c r="K101" s="2419"/>
      <c r="L101" s="2419"/>
      <c r="M101" s="2419"/>
      <c r="N101" s="2419"/>
      <c r="O101" s="2419"/>
      <c r="P101" s="2419"/>
      <c r="Q101" s="2419"/>
      <c r="R101" s="2419"/>
      <c r="S101" s="2419"/>
      <c r="T101" s="2419"/>
      <c r="U101" s="2419"/>
      <c r="V101" s="2419"/>
      <c r="W101" s="2419"/>
      <c r="X101" s="2419"/>
      <c r="Y101" s="2419"/>
      <c r="Z101" s="2419"/>
      <c r="AA101" s="2419"/>
      <c r="AB101" s="2419"/>
      <c r="AC101" s="2419"/>
      <c r="AD101" s="2419"/>
      <c r="AE101" s="2419"/>
      <c r="AF101" s="2419"/>
      <c r="AG101" s="2419"/>
      <c r="AH101" s="2419"/>
      <c r="AI101" s="2419"/>
      <c r="AJ101" s="242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8">
        <f>Application!AC753</f>
        <v>0.39999999999999991</v>
      </c>
      <c r="F103" s="2399"/>
      <c r="G103" s="2399"/>
      <c r="H103" s="2399"/>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8">
        <f ca="1">SUMIF(Application!AC718:AG752,0.2,Application!G718:J752)/Application!G753+SUMIF(Application!AC718:AG752,0.25,Application!G718:J752)/Application!G753+SUMIF(Application!AC718:AG752,0.3,Application!G718:J752)/Application!G753</f>
        <v>0.22222222222222221</v>
      </c>
      <c r="F104" s="2399"/>
      <c r="G104" s="2399"/>
      <c r="H104" s="2399"/>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8">
        <f ca="1">SUMIF(Application!AC718:AG752,0.35,Application!G718:J752)/Application!G753+SUMIF(Application!AC718:AG752,0.4,Application!G718:J752)/Application!G753+SUMIF(Application!AC718:AG752,0.45,Application!G718:J752)/Application!G753+SUMIF(Application!AC718:AG752,0.5,Application!G718:J752)/Application!G753</f>
        <v>0.77777777777777779</v>
      </c>
      <c r="F105" s="2399"/>
      <c r="G105" s="2399"/>
      <c r="H105" s="2399"/>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6">
        <f ca="1">IF(AND(E103&lt;=0.6,OR(AND(E104&gt;=0.1,E105&gt;=0.1),AND(E104&gt;0.1,(E104+E105)&gt;=0.2))),20,0)</f>
        <v>20</v>
      </c>
      <c r="F106" s="2457"/>
      <c r="G106" s="2457"/>
      <c r="H106" s="2457"/>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37">
        <f>MAX(AP95,AP106)</f>
        <v>20</v>
      </c>
      <c r="AL109" s="2438"/>
      <c r="AM109" s="243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4" t="s">
        <v>1314</v>
      </c>
      <c r="AF112" s="2414"/>
      <c r="AG112" s="2414"/>
      <c r="AH112" s="2414"/>
      <c r="AI112" s="2414"/>
      <c r="AJ112" s="2414"/>
      <c r="AK112" s="2414"/>
      <c r="AL112" s="541"/>
      <c r="AM112" s="541"/>
      <c r="AN112" s="536"/>
      <c r="AO112" s="537" t="str">
        <f>Application!B718</f>
        <v>1 Bedroom</v>
      </c>
      <c r="AQ112" s="537">
        <f>Application!O718</f>
        <v>499</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669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839</v>
      </c>
    </row>
    <row r="115" spans="1:52" s="537" customFormat="1" ht="12.75" customHeight="1">
      <c r="A115" s="541"/>
      <c r="B115" s="2404" t="s">
        <v>545</v>
      </c>
      <c r="C115" s="2404"/>
      <c r="D115" s="548" t="s">
        <v>1315</v>
      </c>
      <c r="E115" s="2415" t="s">
        <v>1858</v>
      </c>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1"/>
      <c r="AL115" s="541"/>
      <c r="AM115" s="541"/>
      <c r="AN115" s="536"/>
      <c r="AO115" s="537" t="str">
        <f>Application!B721</f>
        <v>2 Bedrooms</v>
      </c>
      <c r="AQ115" s="537">
        <f>Application!O721</f>
        <v>601</v>
      </c>
      <c r="AU115" s="537" t="s">
        <v>1840</v>
      </c>
      <c r="AV115" s="596" t="s">
        <v>1841</v>
      </c>
      <c r="AW115" s="537" t="s">
        <v>1842</v>
      </c>
    </row>
    <row r="116" spans="1:52" s="537" customFormat="1" ht="12.75" customHeight="1">
      <c r="A116" s="541"/>
      <c r="B116" s="540"/>
      <c r="C116" s="540"/>
      <c r="D116" s="540"/>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1"/>
      <c r="AL116" s="541"/>
      <c r="AM116" s="541"/>
      <c r="AN116" s="536"/>
      <c r="AO116" s="537" t="str">
        <f>Application!B722</f>
        <v>2 Bedrooms</v>
      </c>
      <c r="AQ116" s="537">
        <f>Application!O722</f>
        <v>806</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1"/>
      <c r="AL117" s="541"/>
      <c r="AM117" s="541"/>
      <c r="AN117" s="536"/>
      <c r="AO117" s="537" t="str">
        <f>Application!B723</f>
        <v>2 Bedrooms</v>
      </c>
      <c r="AQ117" s="537">
        <f>Application!O723</f>
        <v>1010</v>
      </c>
      <c r="AU117" s="857" t="str">
        <f>J124</f>
        <v>1-bedroom</v>
      </c>
      <c r="AV117" s="537">
        <f t="array" ref="AV117">SUM(IF(Application!B718:F752="1 Bedroom",Application!G718:J752))</f>
        <v>14</v>
      </c>
      <c r="AW117" s="1012">
        <f>AV117/AV122</f>
        <v>0.22222222222222221</v>
      </c>
    </row>
    <row r="118" spans="1:52" s="537" customFormat="1" ht="12.75" customHeight="1">
      <c r="A118" s="541"/>
      <c r="B118" s="540"/>
      <c r="C118" s="540"/>
      <c r="D118" s="540"/>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1"/>
      <c r="AL118" s="541"/>
      <c r="AM118" s="541"/>
      <c r="AN118" s="536"/>
      <c r="AO118" s="537" t="str">
        <f>Application!B724</f>
        <v>3 Bedrooms</v>
      </c>
      <c r="AQ118" s="537">
        <f>Application!O724</f>
        <v>696</v>
      </c>
      <c r="AU118" s="857" t="str">
        <f>O124</f>
        <v>2-bedroom</v>
      </c>
      <c r="AV118" s="537">
        <f t="array" ref="AV118">SUM(IF(Application!B718:F752="2 Bedrooms",Application!G718:J752))</f>
        <v>33</v>
      </c>
      <c r="AW118" s="1012">
        <f>AV118/AV122</f>
        <v>0.52380952380952384</v>
      </c>
    </row>
    <row r="119" spans="1:52" s="537" customFormat="1" ht="12.75" customHeight="1">
      <c r="A119" s="541"/>
      <c r="B119" s="540"/>
      <c r="C119" s="540"/>
      <c r="D119" s="540"/>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1"/>
      <c r="AL119" s="541"/>
      <c r="AM119" s="541"/>
      <c r="AN119" s="536"/>
      <c r="AO119" s="537" t="str">
        <f>Application!B725</f>
        <v>3 Bedrooms</v>
      </c>
      <c r="AQ119" s="537">
        <f>Application!O725</f>
        <v>932</v>
      </c>
      <c r="AU119" s="857" t="str">
        <f>T124</f>
        <v>3-bedroom</v>
      </c>
      <c r="AV119" s="537">
        <f t="array" ref="AV119">SUM(IF(Application!B718:F752="3 Bedrooms",Application!G718:J752))</f>
        <v>16</v>
      </c>
      <c r="AW119" s="1012">
        <f>AV119/AV122</f>
        <v>0.25396825396825395</v>
      </c>
    </row>
    <row r="120" spans="1:52" s="537" customFormat="1" ht="12.75" customHeight="1">
      <c r="A120" s="541"/>
      <c r="B120" s="540"/>
      <c r="C120" s="540"/>
      <c r="D120" s="540"/>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1"/>
      <c r="AL120" s="541"/>
      <c r="AM120" s="541"/>
      <c r="AN120" s="536"/>
      <c r="AO120" s="537" t="str">
        <f>Application!B726</f>
        <v>3 Bedrooms</v>
      </c>
      <c r="AQ120" s="537">
        <f>Application!O726</f>
        <v>1168</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8"/>
      <c r="F122" s="2419"/>
      <c r="G122" s="2419"/>
      <c r="H122" s="2419"/>
      <c r="I122" s="2419"/>
      <c r="J122" s="2419"/>
      <c r="K122" s="2419"/>
      <c r="L122" s="2419"/>
      <c r="M122" s="2419"/>
      <c r="N122" s="2419"/>
      <c r="O122" s="2419"/>
      <c r="P122" s="2419"/>
      <c r="Q122" s="2419"/>
      <c r="R122" s="2419"/>
      <c r="S122" s="2419"/>
      <c r="T122" s="2419"/>
      <c r="U122" s="2419"/>
      <c r="V122" s="2419"/>
      <c r="W122" s="2419"/>
      <c r="X122" s="2419"/>
      <c r="Y122" s="2419"/>
      <c r="Z122" s="2419"/>
      <c r="AA122" s="2419"/>
      <c r="AB122" s="2419"/>
      <c r="AC122" s="2419"/>
      <c r="AD122" s="2419"/>
      <c r="AE122" s="2419"/>
      <c r="AF122" s="2419"/>
      <c r="AG122" s="2419"/>
      <c r="AH122" s="2419"/>
      <c r="AI122" s="2419"/>
      <c r="AJ122" s="2420"/>
      <c r="AK122" s="541"/>
      <c r="AL122" s="541"/>
      <c r="AM122" s="541"/>
      <c r="AN122" s="536"/>
      <c r="AO122" s="537">
        <f>Application!B728</f>
        <v>0</v>
      </c>
      <c r="AQ122" s="537">
        <f>Application!O728</f>
        <v>0</v>
      </c>
      <c r="AV122" s="537">
        <f>SUM(AV116:AV121)</f>
        <v>63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8" t="s">
        <v>1588</v>
      </c>
      <c r="F124" s="2399"/>
      <c r="G124" s="2399"/>
      <c r="H124" s="2399"/>
      <c r="I124" s="578"/>
      <c r="J124" s="2399" t="s">
        <v>1631</v>
      </c>
      <c r="K124" s="2399"/>
      <c r="L124" s="2399"/>
      <c r="M124" s="2399"/>
      <c r="N124" s="578"/>
      <c r="O124" s="2399" t="s">
        <v>1632</v>
      </c>
      <c r="P124" s="2399"/>
      <c r="Q124" s="2399"/>
      <c r="R124" s="2399"/>
      <c r="S124" s="578"/>
      <c r="T124" s="2399" t="s">
        <v>1334</v>
      </c>
      <c r="U124" s="2399"/>
      <c r="V124" s="2399"/>
      <c r="W124" s="2399"/>
      <c r="X124" s="578"/>
      <c r="Y124" s="2399" t="s">
        <v>1633</v>
      </c>
      <c r="Z124" s="2399"/>
      <c r="AA124" s="2399"/>
      <c r="AB124" s="2399"/>
      <c r="AC124" s="578"/>
      <c r="AD124" s="2399" t="s">
        <v>1634</v>
      </c>
      <c r="AE124" s="2399"/>
      <c r="AF124" s="2399"/>
      <c r="AG124" s="2399"/>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8"/>
      <c r="F127" s="2459"/>
      <c r="G127" s="2459"/>
      <c r="H127" s="2459"/>
      <c r="I127" s="865"/>
      <c r="J127" s="2459">
        <v>1286</v>
      </c>
      <c r="K127" s="2459"/>
      <c r="L127" s="2459"/>
      <c r="M127" s="2459"/>
      <c r="N127" s="865"/>
      <c r="O127" s="2459">
        <v>1493</v>
      </c>
      <c r="P127" s="2459"/>
      <c r="Q127" s="2459"/>
      <c r="R127" s="2459"/>
      <c r="S127" s="865"/>
      <c r="T127" s="2459">
        <v>1564</v>
      </c>
      <c r="U127" s="2459"/>
      <c r="V127" s="2459"/>
      <c r="W127" s="2459"/>
      <c r="X127" s="865"/>
      <c r="Y127" s="2459"/>
      <c r="Z127" s="2459"/>
      <c r="AA127" s="2459"/>
      <c r="AB127" s="2459"/>
      <c r="AC127" s="865"/>
      <c r="AD127" s="2459"/>
      <c r="AE127" s="2459"/>
      <c r="AF127" s="2459"/>
      <c r="AG127" s="2459"/>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51">
        <f>Application!DX670</f>
        <v>0</v>
      </c>
      <c r="F130" s="2452"/>
      <c r="G130" s="2452"/>
      <c r="H130" s="2452"/>
      <c r="I130" s="865"/>
      <c r="J130" s="2452">
        <f>Application!EC670</f>
        <v>693.28571428571422</v>
      </c>
      <c r="K130" s="2452"/>
      <c r="L130" s="2452"/>
      <c r="M130" s="2452"/>
      <c r="N130" s="865"/>
      <c r="O130" s="2452">
        <f>Application!EH670</f>
        <v>793.42424242424238</v>
      </c>
      <c r="P130" s="2452"/>
      <c r="Q130" s="2452"/>
      <c r="R130" s="2452"/>
      <c r="S130" s="869"/>
      <c r="T130" s="2452">
        <f>Application!EM670</f>
        <v>932</v>
      </c>
      <c r="U130" s="2452"/>
      <c r="V130" s="2452"/>
      <c r="W130" s="2452"/>
      <c r="X130" s="869"/>
      <c r="Y130" s="2452">
        <f>Application!ER670</f>
        <v>0</v>
      </c>
      <c r="Z130" s="2452"/>
      <c r="AA130" s="2452"/>
      <c r="AB130" s="2452"/>
      <c r="AC130" s="869"/>
      <c r="AD130" s="2452">
        <f>Application!EW670</f>
        <v>0</v>
      </c>
      <c r="AE130" s="2452"/>
      <c r="AF130" s="2452"/>
      <c r="AG130" s="245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50" t="e">
        <f>(E127-E130)/E127</f>
        <v>#DIV/0!</v>
      </c>
      <c r="F133" s="2401"/>
      <c r="G133" s="2401"/>
      <c r="H133" s="2651"/>
      <c r="I133" s="578"/>
      <c r="J133" s="2650">
        <f>(J127-J130)/J127</f>
        <v>0.46089757831592987</v>
      </c>
      <c r="K133" s="2401"/>
      <c r="L133" s="2401"/>
      <c r="M133" s="2651"/>
      <c r="N133" s="578"/>
      <c r="O133" s="2650">
        <f>(O127-O130)/O127</f>
        <v>0.46857050072053424</v>
      </c>
      <c r="P133" s="2401"/>
      <c r="Q133" s="2401"/>
      <c r="R133" s="2651"/>
      <c r="S133" s="578"/>
      <c r="T133" s="2650">
        <f>(T127-T130)/T127</f>
        <v>0.40409207161125321</v>
      </c>
      <c r="U133" s="2401"/>
      <c r="V133" s="2401"/>
      <c r="W133" s="2651"/>
      <c r="X133" s="578"/>
      <c r="Y133" s="2650" t="e">
        <f>(Y127-Y130)/Y127</f>
        <v>#DIV/0!</v>
      </c>
      <c r="Z133" s="2401"/>
      <c r="AA133" s="2401"/>
      <c r="AB133" s="2651"/>
      <c r="AC133" s="578"/>
      <c r="AD133" s="2650" t="e">
        <f>(AD127-AD130)/AD127</f>
        <v>#DIV/0!</v>
      </c>
      <c r="AE133" s="2401"/>
      <c r="AF133" s="2401"/>
      <c r="AG133" s="265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53" t="e">
        <f>IF(((E133-0.1)*AW116)&gt;0,((E133-0.1)*AW116),0)</f>
        <v>#DIV/0!</v>
      </c>
      <c r="F136" s="2454"/>
      <c r="G136" s="2454"/>
      <c r="H136" s="2455"/>
      <c r="I136" s="578"/>
      <c r="J136" s="2453">
        <f>IF(((J133-0.1)*AW117)&gt;0,((J133-0.1)*AW117),0)</f>
        <v>8.0199461847984405E-2</v>
      </c>
      <c r="K136" s="2454"/>
      <c r="L136" s="2454"/>
      <c r="M136" s="2455"/>
      <c r="N136" s="578"/>
      <c r="O136" s="2453">
        <f>IF(((O133-0.1)*AW118)&gt;0,((O133-0.1)*AW118),0)</f>
        <v>0.19306073847266078</v>
      </c>
      <c r="P136" s="2454"/>
      <c r="Q136" s="2454"/>
      <c r="R136" s="2455"/>
      <c r="S136" s="578"/>
      <c r="T136" s="2453">
        <f>IF(((T133-0.1)*AW119)&gt;0,((T133-0.1)*AW119),0)</f>
        <v>7.7229732472699222E-2</v>
      </c>
      <c r="U136" s="2454"/>
      <c r="V136" s="2454"/>
      <c r="W136" s="2455"/>
      <c r="X136" s="578"/>
      <c r="Y136" s="2453" t="e">
        <f>IF(((Y133-0.1)*AW120)&gt;0,((Y133-0.1)*AW120),0)</f>
        <v>#DIV/0!</v>
      </c>
      <c r="Z136" s="2454"/>
      <c r="AA136" s="2454"/>
      <c r="AB136" s="2455"/>
      <c r="AC136" s="578"/>
      <c r="AD136" s="2453" t="e">
        <f>IF(((AD133-0.1)*AW121)&gt;0,((AD133-0.1)*AW121),0)</f>
        <v>#DIV/0!</v>
      </c>
      <c r="AE136" s="2454"/>
      <c r="AF136" s="2454"/>
      <c r="AG136" s="2455"/>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50">
        <f>ROUNDDOWN(SUMIF(E136:AG136,"&gt;0"),2)</f>
        <v>0.35</v>
      </c>
      <c r="F138" s="2401"/>
      <c r="G138" s="2401"/>
      <c r="H138" s="2651"/>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7">
        <f>IF((E138*100)&gt;10,10,E138*100)</f>
        <v>10</v>
      </c>
      <c r="F139" s="2438"/>
      <c r="G139" s="2438"/>
      <c r="H139" s="2439"/>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37">
        <f>E139</f>
        <v>10</v>
      </c>
      <c r="AL143" s="2438"/>
      <c r="AM143" s="243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14" t="s">
        <v>1314</v>
      </c>
      <c r="AF146" s="2414"/>
      <c r="AG146" s="2414"/>
      <c r="AH146" s="2414"/>
      <c r="AI146" s="2414"/>
      <c r="AJ146" s="2414"/>
      <c r="AK146" s="2414"/>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9" t="s">
        <v>1338</v>
      </c>
      <c r="AG148" s="2449"/>
      <c r="AH148" s="2449"/>
      <c r="AI148" s="2449"/>
      <c r="AJ148" s="2449"/>
      <c r="AK148" s="2449"/>
      <c r="AL148" s="2449"/>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50" t="s">
        <v>2633</v>
      </c>
      <c r="C150" s="2450"/>
      <c r="D150" s="2450"/>
      <c r="E150" s="2450"/>
      <c r="F150" s="2450"/>
      <c r="G150" s="2450"/>
      <c r="H150" s="2450"/>
      <c r="I150" s="2450"/>
      <c r="J150" s="2450"/>
      <c r="K150" s="2450"/>
      <c r="L150" s="2450"/>
      <c r="M150" s="2450"/>
      <c r="N150" s="2450"/>
      <c r="O150" s="2450"/>
      <c r="P150" s="2450"/>
      <c r="Q150" s="2450"/>
      <c r="R150" s="2450"/>
      <c r="S150" s="2450"/>
      <c r="T150" s="2450"/>
      <c r="U150" s="2450"/>
      <c r="V150" s="2450"/>
      <c r="W150" s="2450"/>
      <c r="X150" s="2450"/>
      <c r="Y150" s="2450"/>
      <c r="Z150" s="2450"/>
      <c r="AA150" s="2450"/>
      <c r="AB150" s="2450"/>
      <c r="AC150" s="245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76" t="s">
        <v>1341</v>
      </c>
      <c r="C153" s="2476"/>
      <c r="D153" s="2476"/>
      <c r="E153" s="2476"/>
      <c r="F153" s="2476"/>
      <c r="G153" s="2476"/>
      <c r="H153" s="2476"/>
      <c r="I153" s="2476"/>
      <c r="J153" s="2476"/>
      <c r="K153" s="2476"/>
      <c r="L153" s="2476"/>
      <c r="M153" s="2476"/>
      <c r="N153" s="2476"/>
      <c r="O153" s="2476"/>
      <c r="P153" s="2476"/>
      <c r="Q153" s="2476"/>
      <c r="R153" s="2476"/>
      <c r="S153" s="2476"/>
      <c r="T153" s="2476"/>
      <c r="U153" s="2476"/>
      <c r="V153" s="2476"/>
      <c r="W153" s="2476"/>
      <c r="X153" s="2476"/>
      <c r="Y153" s="2476"/>
      <c r="Z153" s="2476"/>
      <c r="AA153" s="2476"/>
      <c r="AB153" s="2476"/>
      <c r="AC153" s="2476"/>
      <c r="AD153" s="2476"/>
      <c r="AE153" s="2476"/>
      <c r="AF153" s="2476"/>
      <c r="AG153" s="2476"/>
      <c r="AH153" s="2476"/>
      <c r="AI153" s="2476"/>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77" t="s">
        <v>591</v>
      </c>
      <c r="AC155" s="247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76" t="s">
        <v>1343</v>
      </c>
      <c r="C158" s="2476"/>
      <c r="D158" s="2476"/>
      <c r="E158" s="2476"/>
      <c r="F158" s="2476"/>
      <c r="G158" s="2476"/>
      <c r="H158" s="2476"/>
      <c r="I158" s="2476"/>
      <c r="J158" s="2476"/>
      <c r="K158" s="2476"/>
      <c r="L158" s="2476"/>
      <c r="M158" s="2476"/>
      <c r="N158" s="2476"/>
      <c r="O158" s="2476"/>
      <c r="P158" s="2476"/>
      <c r="Q158" s="2476"/>
      <c r="R158" s="2476"/>
      <c r="S158" s="2476"/>
      <c r="T158" s="2476"/>
      <c r="U158" s="2476"/>
      <c r="V158" s="2476"/>
      <c r="W158" s="2476"/>
      <c r="X158" s="2476"/>
      <c r="Y158" s="2476"/>
      <c r="Z158" s="2476"/>
      <c r="AA158" s="2476"/>
      <c r="AB158" s="2476"/>
      <c r="AC158" s="2476"/>
      <c r="AD158" s="2476"/>
      <c r="AE158" s="2476"/>
      <c r="AF158" s="2476"/>
      <c r="AG158" s="2476"/>
      <c r="AH158" s="2476"/>
      <c r="AI158" s="2476"/>
      <c r="AJ158" s="2476"/>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7" t="s">
        <v>2479</v>
      </c>
      <c r="C161" s="2637"/>
      <c r="D161" s="2637"/>
      <c r="E161" s="2637"/>
      <c r="F161" s="2637"/>
      <c r="G161" s="2637"/>
      <c r="H161" s="2637"/>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37"/>
      <c r="AD161" s="2637"/>
      <c r="AE161" s="2637"/>
      <c r="AF161" s="2637"/>
      <c r="AG161" s="2637"/>
      <c r="AH161" s="2637"/>
      <c r="AI161" s="2637"/>
      <c r="AJ161" s="2637"/>
      <c r="AK161" s="1182"/>
      <c r="AM161" s="540"/>
      <c r="AN161" s="536"/>
      <c r="AO161" s="477"/>
      <c r="AP161" s="490"/>
    </row>
    <row r="162" spans="1:42" s="537" customFormat="1" ht="12.75" customHeight="1">
      <c r="B162" s="2637"/>
      <c r="C162" s="2637"/>
      <c r="D162" s="2637"/>
      <c r="E162" s="2637"/>
      <c r="F162" s="2637"/>
      <c r="G162" s="2637"/>
      <c r="H162" s="2637"/>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37"/>
      <c r="AD162" s="2637"/>
      <c r="AE162" s="2637"/>
      <c r="AF162" s="2637"/>
      <c r="AG162" s="2637"/>
      <c r="AH162" s="2637"/>
      <c r="AI162" s="2637"/>
      <c r="AJ162" s="2637"/>
      <c r="AK162" s="1182"/>
      <c r="AM162" s="540"/>
      <c r="AN162" s="536"/>
      <c r="AO162" s="477"/>
      <c r="AP162" s="490"/>
    </row>
    <row r="163" spans="1:42" s="537" customFormat="1" ht="12.75" customHeight="1">
      <c r="C163" s="2540" t="s">
        <v>2480</v>
      </c>
      <c r="D163" s="2540"/>
      <c r="E163" s="2540"/>
      <c r="F163" s="2540"/>
      <c r="G163" s="2540"/>
      <c r="H163" s="2540"/>
      <c r="I163" s="2540"/>
      <c r="J163" s="2540"/>
      <c r="K163" s="2540"/>
      <c r="L163" s="2540"/>
      <c r="M163" s="2540"/>
      <c r="N163" s="2540"/>
      <c r="O163" s="2540"/>
      <c r="P163" s="2540"/>
      <c r="Q163" s="2540"/>
      <c r="R163" s="2540"/>
      <c r="S163" s="2540"/>
      <c r="T163" s="2540"/>
      <c r="U163" s="2540"/>
      <c r="V163" s="2540"/>
      <c r="W163" s="2540"/>
      <c r="X163" s="2540"/>
      <c r="Y163" s="2540"/>
      <c r="Z163" s="2540"/>
      <c r="AA163" s="2540"/>
      <c r="AB163" s="2540"/>
      <c r="AC163" s="2540"/>
      <c r="AD163" s="2540"/>
      <c r="AE163" s="2540"/>
      <c r="AF163" s="2540"/>
      <c r="AG163" s="2540"/>
      <c r="AH163" s="2540"/>
      <c r="AI163" s="2540"/>
      <c r="AJ163" s="2540"/>
      <c r="AK163" s="1182"/>
      <c r="AM163" s="540"/>
      <c r="AN163" s="536"/>
      <c r="AO163" s="477"/>
      <c r="AP163" s="490"/>
    </row>
    <row r="164" spans="1:42" s="537" customFormat="1" ht="12.75" customHeight="1">
      <c r="B164" s="1182"/>
      <c r="C164" s="2475" t="s">
        <v>2478</v>
      </c>
      <c r="D164" s="2475"/>
      <c r="E164" s="2475"/>
      <c r="F164" s="2475"/>
      <c r="G164" s="2475"/>
      <c r="H164" s="2475"/>
      <c r="I164" s="2475"/>
      <c r="J164" s="2475"/>
      <c r="K164" s="2475"/>
      <c r="L164" s="2475"/>
      <c r="M164" s="2475"/>
      <c r="N164" s="2475"/>
      <c r="O164" s="2475"/>
      <c r="P164" s="2475"/>
      <c r="Q164" s="2475"/>
      <c r="R164" s="2475"/>
      <c r="S164" s="2475"/>
      <c r="T164" s="2475"/>
      <c r="U164" s="2475"/>
      <c r="V164" s="2475"/>
      <c r="W164" s="2475"/>
      <c r="X164" s="2475"/>
      <c r="Y164" s="2475"/>
      <c r="Z164" s="2475"/>
      <c r="AA164" s="1172"/>
      <c r="AB164" s="1172"/>
      <c r="AC164" s="1172"/>
      <c r="AD164" s="1172"/>
      <c r="AE164" s="1172"/>
      <c r="AF164" s="1172"/>
      <c r="AG164" s="1172"/>
      <c r="AH164" s="1172"/>
      <c r="AJ164" s="2477" t="s">
        <v>591</v>
      </c>
      <c r="AK164" s="247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0">
        <f>IF($AB$155="N/A",VLOOKUP($B$153,$AO$151:$AP$154,2,FALSE),VLOOKUP($B$158,$AO$156:$AP$158,2,FALSE))</f>
        <v>7</v>
      </c>
      <c r="AK166" s="248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9" t="s">
        <v>1352</v>
      </c>
      <c r="AG168" s="2449"/>
      <c r="AH168" s="2449"/>
      <c r="AI168" s="2449"/>
      <c r="AJ168" s="2449"/>
      <c r="AK168" s="2449"/>
      <c r="AL168" s="2449"/>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6" t="s">
        <v>1350</v>
      </c>
      <c r="D170" s="2476"/>
      <c r="E170" s="2476"/>
      <c r="F170" s="2476"/>
      <c r="G170" s="2476"/>
      <c r="H170" s="2476"/>
      <c r="I170" s="2476"/>
      <c r="J170" s="2476"/>
      <c r="K170" s="2476"/>
      <c r="L170" s="2476"/>
      <c r="M170" s="2476"/>
      <c r="N170" s="2476"/>
      <c r="O170" s="2476"/>
      <c r="P170" s="2476"/>
      <c r="Q170" s="2476"/>
      <c r="R170" s="2476"/>
      <c r="S170" s="2476"/>
      <c r="T170" s="2476"/>
      <c r="U170" s="2476"/>
      <c r="V170" s="2476"/>
      <c r="W170" s="2476"/>
      <c r="X170" s="2476"/>
      <c r="Y170" s="2476"/>
      <c r="Z170" s="2476"/>
      <c r="AA170" s="2476"/>
      <c r="AB170" s="2476"/>
      <c r="AC170" s="2476"/>
      <c r="AD170" s="2476"/>
      <c r="AE170" s="2476"/>
      <c r="AF170" s="2476"/>
      <c r="AG170" s="2476"/>
      <c r="AH170" s="2476"/>
      <c r="AI170" s="2476"/>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7" t="s">
        <v>591</v>
      </c>
      <c r="AG172" s="2477"/>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76" t="s">
        <v>1343</v>
      </c>
      <c r="D174" s="2476"/>
      <c r="E174" s="2476"/>
      <c r="F174" s="2476"/>
      <c r="G174" s="2476"/>
      <c r="H174" s="2476"/>
      <c r="I174" s="2476"/>
      <c r="J174" s="2476"/>
      <c r="K174" s="2476"/>
      <c r="L174" s="2476"/>
      <c r="M174" s="2476"/>
      <c r="N174" s="2476"/>
      <c r="O174" s="2476"/>
      <c r="P174" s="2476"/>
      <c r="Q174" s="2476"/>
      <c r="R174" s="2476"/>
      <c r="S174" s="2476"/>
      <c r="T174" s="2476"/>
      <c r="U174" s="2476"/>
      <c r="V174" s="2476"/>
      <c r="W174" s="2476"/>
      <c r="X174" s="2476"/>
      <c r="Y174" s="2476"/>
      <c r="Z174" s="2476"/>
      <c r="AA174" s="2476"/>
      <c r="AB174" s="2476"/>
      <c r="AC174" s="2476"/>
      <c r="AD174" s="2476"/>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78" t="str">
        <f>Application!AA335</f>
        <v>Domus Management Company</v>
      </c>
      <c r="D178" s="2478"/>
      <c r="E178" s="2478"/>
      <c r="F178" s="2478"/>
      <c r="G178" s="2478"/>
      <c r="H178" s="2478"/>
      <c r="I178" s="2478"/>
      <c r="J178" s="2478"/>
      <c r="K178" s="2478"/>
      <c r="L178" s="2478"/>
      <c r="M178" s="2478"/>
      <c r="N178" s="2478"/>
      <c r="O178" s="2478"/>
      <c r="P178" s="2478"/>
      <c r="Q178" s="2478"/>
      <c r="R178" s="2478"/>
      <c r="S178" s="2478"/>
      <c r="T178" s="2478"/>
      <c r="U178" s="2478"/>
      <c r="V178" s="2478"/>
      <c r="W178" s="2478"/>
      <c r="X178" s="2478"/>
      <c r="Y178" s="2478"/>
      <c r="Z178" s="2478"/>
      <c r="AA178" s="2478"/>
      <c r="AB178" s="2478"/>
      <c r="AC178" s="2478"/>
      <c r="AD178" s="2478"/>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9">
        <f>IF($AF$172="N/A",VLOOKUP($C$170,$AO$170:$AP$173,2,FALSE),VLOOKUP($C$174,$AO$177:$AP$179,2,FALSE))</f>
        <v>3</v>
      </c>
      <c r="AK180" s="247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37">
        <f>$AJ$166+$AJ$180</f>
        <v>10</v>
      </c>
      <c r="AL183" s="2438"/>
      <c r="AM183" s="243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4" t="s">
        <v>1314</v>
      </c>
      <c r="AF186" s="2414"/>
      <c r="AG186" s="2414"/>
      <c r="AH186" s="2414"/>
      <c r="AI186" s="2414"/>
      <c r="AJ186" s="2414"/>
      <c r="AK186" s="2414"/>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74" t="s">
        <v>1041</v>
      </c>
      <c r="C188" s="2474"/>
      <c r="D188" s="2474"/>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537"/>
      <c r="AE188" s="537"/>
      <c r="AF188" s="2449" t="s">
        <v>1363</v>
      </c>
      <c r="AG188" s="2449"/>
      <c r="AH188" s="2449"/>
      <c r="AI188" s="2449"/>
      <c r="AJ188" s="2449"/>
      <c r="AK188" s="2449"/>
      <c r="AL188" s="2449"/>
      <c r="AN188" s="598"/>
      <c r="AP188" s="551" t="s">
        <v>1043</v>
      </c>
      <c r="AQ188" s="551">
        <v>10</v>
      </c>
    </row>
    <row r="189" spans="1:73" s="551" customFormat="1" ht="12.75" customHeight="1">
      <c r="A189" s="537"/>
      <c r="B189" s="2475" t="s">
        <v>1726</v>
      </c>
      <c r="C189" s="2475"/>
      <c r="D189" s="2475"/>
      <c r="E189" s="2475"/>
      <c r="F189" s="2475"/>
      <c r="G189" s="2475"/>
      <c r="H189" s="2475"/>
      <c r="I189" s="2475"/>
      <c r="J189" s="2475"/>
      <c r="K189" s="2475"/>
      <c r="L189" s="2475"/>
      <c r="M189" s="2475"/>
      <c r="N189" s="2475"/>
      <c r="O189" s="2475"/>
      <c r="P189" s="2475"/>
      <c r="Q189" s="2475"/>
      <c r="R189" s="2475"/>
      <c r="S189" s="2475"/>
      <c r="T189" s="2450" t="s">
        <v>591</v>
      </c>
      <c r="U189" s="2450"/>
      <c r="V189" s="2450"/>
      <c r="W189" s="2450"/>
      <c r="X189" s="2450"/>
      <c r="Y189" s="2450"/>
      <c r="Z189" s="2450"/>
      <c r="AA189" s="2450"/>
      <c r="AB189" s="2450"/>
      <c r="AC189" s="2450"/>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84">
        <f>IF(AK84&gt;0,VLOOKUP($B$188,AP185:AQ191,2,FALSE),0)</f>
        <v>10</v>
      </c>
      <c r="AL191" s="2485"/>
      <c r="AM191" s="2486"/>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4" t="s">
        <v>1372</v>
      </c>
      <c r="AF194" s="2414"/>
      <c r="AG194" s="2414"/>
      <c r="AH194" s="2414"/>
      <c r="AI194" s="2414"/>
      <c r="AJ194" s="2414"/>
      <c r="AK194" s="2414"/>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61" t="s">
        <v>2719</v>
      </c>
      <c r="C199" s="2461"/>
      <c r="D199" s="2461"/>
      <c r="E199" s="2461"/>
      <c r="F199" s="2461"/>
      <c r="G199" s="2461"/>
      <c r="H199" s="2461"/>
      <c r="I199" s="2461"/>
      <c r="J199" s="2461"/>
      <c r="K199" s="2461"/>
      <c r="L199" s="2461"/>
      <c r="M199" s="2461"/>
      <c r="N199" s="2461"/>
      <c r="O199" s="2461"/>
      <c r="P199" s="2461"/>
      <c r="Q199" s="2461"/>
      <c r="R199" s="2461"/>
      <c r="S199" s="2461"/>
      <c r="T199" s="2461"/>
      <c r="U199" s="2461"/>
      <c r="V199" s="2461"/>
      <c r="W199" s="2461"/>
      <c r="X199" s="2461"/>
      <c r="Y199" s="2461"/>
      <c r="Z199" s="2461"/>
      <c r="AA199" s="2461"/>
      <c r="AB199" s="2461"/>
      <c r="AC199" s="847"/>
      <c r="AD199" s="2462">
        <v>13936934</v>
      </c>
      <c r="AE199" s="2462"/>
      <c r="AF199" s="2462"/>
      <c r="AG199" s="2462"/>
      <c r="AH199" s="2462"/>
      <c r="AI199" s="2462"/>
      <c r="AJ199" s="2462"/>
      <c r="AK199" s="611"/>
    </row>
    <row r="200" spans="1:40">
      <c r="A200" s="606"/>
      <c r="B200" s="2461" t="s">
        <v>2716</v>
      </c>
      <c r="C200" s="2461"/>
      <c r="D200" s="2461"/>
      <c r="E200" s="2461"/>
      <c r="F200" s="2461"/>
      <c r="G200" s="2461"/>
      <c r="H200" s="2461"/>
      <c r="I200" s="2461"/>
      <c r="J200" s="2461"/>
      <c r="K200" s="2461"/>
      <c r="L200" s="2461"/>
      <c r="M200" s="2461"/>
      <c r="N200" s="2461"/>
      <c r="O200" s="2461"/>
      <c r="P200" s="2461"/>
      <c r="Q200" s="2461"/>
      <c r="R200" s="2461"/>
      <c r="S200" s="2461"/>
      <c r="T200" s="2461"/>
      <c r="U200" s="2461"/>
      <c r="V200" s="2461"/>
      <c r="W200" s="2461"/>
      <c r="X200" s="2461"/>
      <c r="Y200" s="2461"/>
      <c r="Z200" s="2461"/>
      <c r="AA200" s="2461"/>
      <c r="AB200" s="2461"/>
      <c r="AC200" s="847"/>
      <c r="AD200" s="2462">
        <v>3449000</v>
      </c>
      <c r="AE200" s="2462"/>
      <c r="AF200" s="2462"/>
      <c r="AG200" s="2462"/>
      <c r="AH200" s="2462"/>
      <c r="AI200" s="2462"/>
      <c r="AJ200" s="2462"/>
      <c r="AK200" s="611"/>
    </row>
    <row r="201" spans="1:40">
      <c r="A201" s="606"/>
      <c r="B201" s="2461" t="s">
        <v>2743</v>
      </c>
      <c r="C201" s="2461"/>
      <c r="D201" s="2461"/>
      <c r="E201" s="2461"/>
      <c r="F201" s="2461"/>
      <c r="G201" s="2461"/>
      <c r="H201" s="2461"/>
      <c r="I201" s="2461"/>
      <c r="J201" s="2461"/>
      <c r="K201" s="2461"/>
      <c r="L201" s="2461"/>
      <c r="M201" s="2461"/>
      <c r="N201" s="2461"/>
      <c r="O201" s="2461"/>
      <c r="P201" s="2461"/>
      <c r="Q201" s="2461"/>
      <c r="R201" s="2461"/>
      <c r="S201" s="2461"/>
      <c r="T201" s="2461"/>
      <c r="U201" s="2461"/>
      <c r="V201" s="2461"/>
      <c r="W201" s="2461"/>
      <c r="X201" s="2461"/>
      <c r="Y201" s="2461"/>
      <c r="Z201" s="2461"/>
      <c r="AA201" s="2461"/>
      <c r="AB201" s="2461"/>
      <c r="AC201" s="847"/>
      <c r="AD201" s="2462">
        <v>8500000</v>
      </c>
      <c r="AE201" s="2462"/>
      <c r="AF201" s="2462"/>
      <c r="AG201" s="2462"/>
      <c r="AH201" s="2462"/>
      <c r="AI201" s="2462"/>
      <c r="AJ201" s="2462"/>
      <c r="AK201" s="611"/>
    </row>
    <row r="202" spans="1:40">
      <c r="A202" s="606"/>
      <c r="B202" s="2461" t="s">
        <v>2778</v>
      </c>
      <c r="C202" s="2461"/>
      <c r="D202" s="2461"/>
      <c r="E202" s="2461"/>
      <c r="F202" s="2461"/>
      <c r="G202" s="2461"/>
      <c r="H202" s="2461"/>
      <c r="I202" s="2461"/>
      <c r="J202" s="2461"/>
      <c r="K202" s="2461"/>
      <c r="L202" s="2461"/>
      <c r="M202" s="2461"/>
      <c r="N202" s="2461"/>
      <c r="O202" s="2461"/>
      <c r="P202" s="2461"/>
      <c r="Q202" s="2461"/>
      <c r="R202" s="2461"/>
      <c r="S202" s="2461"/>
      <c r="T202" s="2461"/>
      <c r="U202" s="2461"/>
      <c r="V202" s="2461"/>
      <c r="W202" s="2461"/>
      <c r="X202" s="2461"/>
      <c r="Y202" s="2461"/>
      <c r="Z202" s="2461"/>
      <c r="AA202" s="2461"/>
      <c r="AB202" s="2461"/>
      <c r="AC202" s="847"/>
      <c r="AD202" s="2462">
        <v>667000</v>
      </c>
      <c r="AE202" s="2462"/>
      <c r="AF202" s="2462"/>
      <c r="AG202" s="2462"/>
      <c r="AH202" s="2462"/>
      <c r="AI202" s="2462"/>
      <c r="AJ202" s="2462"/>
      <c r="AK202" s="611"/>
    </row>
    <row r="203" spans="1:40">
      <c r="A203" s="606"/>
      <c r="B203" s="2461"/>
      <c r="C203" s="2461"/>
      <c r="D203" s="2461"/>
      <c r="E203" s="2461"/>
      <c r="F203" s="2461"/>
      <c r="G203" s="2461"/>
      <c r="H203" s="2461"/>
      <c r="I203" s="2461"/>
      <c r="J203" s="2461"/>
      <c r="K203" s="2461"/>
      <c r="L203" s="2461"/>
      <c r="M203" s="2461"/>
      <c r="N203" s="2461"/>
      <c r="O203" s="2461"/>
      <c r="P203" s="2461"/>
      <c r="Q203" s="2461"/>
      <c r="R203" s="2461"/>
      <c r="S203" s="2461"/>
      <c r="T203" s="2461"/>
      <c r="U203" s="2461"/>
      <c r="V203" s="2461"/>
      <c r="W203" s="2461"/>
      <c r="X203" s="2461"/>
      <c r="Y203" s="2461"/>
      <c r="Z203" s="2461"/>
      <c r="AA203" s="2461"/>
      <c r="AB203" s="2461"/>
      <c r="AC203" s="847"/>
      <c r="AD203" s="2462"/>
      <c r="AE203" s="2462"/>
      <c r="AF203" s="2462"/>
      <c r="AG203" s="2462"/>
      <c r="AH203" s="2462"/>
      <c r="AI203" s="2462"/>
      <c r="AJ203" s="2462"/>
      <c r="AK203" s="611"/>
    </row>
    <row r="204" spans="1:40">
      <c r="A204" s="606"/>
      <c r="B204" s="2461"/>
      <c r="C204" s="2461"/>
      <c r="D204" s="2461"/>
      <c r="E204" s="2461"/>
      <c r="F204" s="2461"/>
      <c r="G204" s="2461"/>
      <c r="H204" s="2461"/>
      <c r="I204" s="2461"/>
      <c r="J204" s="2461"/>
      <c r="K204" s="2461"/>
      <c r="L204" s="2461"/>
      <c r="M204" s="2461"/>
      <c r="N204" s="2461"/>
      <c r="O204" s="2461"/>
      <c r="P204" s="2461"/>
      <c r="Q204" s="2461"/>
      <c r="R204" s="2461"/>
      <c r="S204" s="2461"/>
      <c r="T204" s="2461"/>
      <c r="U204" s="2461"/>
      <c r="V204" s="2461"/>
      <c r="W204" s="2461"/>
      <c r="X204" s="2461"/>
      <c r="Y204" s="2461"/>
      <c r="Z204" s="2461"/>
      <c r="AA204" s="2461"/>
      <c r="AB204" s="2461"/>
      <c r="AC204" s="847"/>
      <c r="AD204" s="2462"/>
      <c r="AE204" s="2462"/>
      <c r="AF204" s="2462"/>
      <c r="AG204" s="2462"/>
      <c r="AH204" s="2462"/>
      <c r="AI204" s="2462"/>
      <c r="AJ204" s="2462"/>
      <c r="AK204" s="611"/>
    </row>
    <row r="205" spans="1:40">
      <c r="A205" s="606"/>
      <c r="B205" s="2461"/>
      <c r="C205" s="2461"/>
      <c r="D205" s="2461"/>
      <c r="E205" s="2461"/>
      <c r="F205" s="2461"/>
      <c r="G205" s="2461"/>
      <c r="H205" s="2461"/>
      <c r="I205" s="2461"/>
      <c r="J205" s="2461"/>
      <c r="K205" s="2461"/>
      <c r="L205" s="2461"/>
      <c r="M205" s="2461"/>
      <c r="N205" s="2461"/>
      <c r="O205" s="2461"/>
      <c r="P205" s="2461"/>
      <c r="Q205" s="2461"/>
      <c r="R205" s="2461"/>
      <c r="S205" s="2461"/>
      <c r="T205" s="2461"/>
      <c r="U205" s="2461"/>
      <c r="V205" s="2461"/>
      <c r="W205" s="2461"/>
      <c r="X205" s="2461"/>
      <c r="Y205" s="2461"/>
      <c r="Z205" s="2461"/>
      <c r="AA205" s="2461"/>
      <c r="AB205" s="2461"/>
      <c r="AC205" s="847"/>
      <c r="AD205" s="2462"/>
      <c r="AE205" s="2462"/>
      <c r="AF205" s="2462"/>
      <c r="AG205" s="2462"/>
      <c r="AH205" s="2462"/>
      <c r="AI205" s="2462"/>
      <c r="AJ205" s="2462"/>
      <c r="AK205" s="611"/>
    </row>
    <row r="206" spans="1:40">
      <c r="A206" s="606"/>
      <c r="B206" s="2461"/>
      <c r="C206" s="2461"/>
      <c r="D206" s="2461"/>
      <c r="E206" s="2461"/>
      <c r="F206" s="2461"/>
      <c r="G206" s="2461"/>
      <c r="H206" s="2461"/>
      <c r="I206" s="2461"/>
      <c r="J206" s="2461"/>
      <c r="K206" s="2461"/>
      <c r="L206" s="2461"/>
      <c r="M206" s="2461"/>
      <c r="N206" s="2461"/>
      <c r="O206" s="2461"/>
      <c r="P206" s="2461"/>
      <c r="Q206" s="2461"/>
      <c r="R206" s="2461"/>
      <c r="S206" s="2461"/>
      <c r="T206" s="2461"/>
      <c r="U206" s="2461"/>
      <c r="V206" s="2461"/>
      <c r="W206" s="2461"/>
      <c r="X206" s="2461"/>
      <c r="Y206" s="2461"/>
      <c r="Z206" s="2461"/>
      <c r="AA206" s="2461"/>
      <c r="AB206" s="2461"/>
      <c r="AC206" s="847"/>
      <c r="AD206" s="2462"/>
      <c r="AE206" s="2462"/>
      <c r="AF206" s="2462"/>
      <c r="AG206" s="2462"/>
      <c r="AH206" s="2462"/>
      <c r="AI206" s="2462"/>
      <c r="AJ206" s="2462"/>
      <c r="AK206" s="611"/>
    </row>
    <row r="207" spans="1:40">
      <c r="A207" s="606"/>
      <c r="B207" s="2461"/>
      <c r="C207" s="2461"/>
      <c r="D207" s="2461"/>
      <c r="E207" s="2461"/>
      <c r="F207" s="2461"/>
      <c r="G207" s="2461"/>
      <c r="H207" s="2461"/>
      <c r="I207" s="2461"/>
      <c r="J207" s="2461"/>
      <c r="K207" s="2461"/>
      <c r="L207" s="2461"/>
      <c r="M207" s="2461"/>
      <c r="N207" s="2461"/>
      <c r="O207" s="2461"/>
      <c r="P207" s="2461"/>
      <c r="Q207" s="2461"/>
      <c r="R207" s="2461"/>
      <c r="S207" s="2461"/>
      <c r="T207" s="2461"/>
      <c r="U207" s="2461"/>
      <c r="V207" s="2461"/>
      <c r="W207" s="2461"/>
      <c r="X207" s="2461"/>
      <c r="Y207" s="2461"/>
      <c r="Z207" s="2461"/>
      <c r="AA207" s="2461"/>
      <c r="AB207" s="2461"/>
      <c r="AC207" s="847"/>
      <c r="AD207" s="2462"/>
      <c r="AE207" s="2462"/>
      <c r="AF207" s="2462"/>
      <c r="AG207" s="2462"/>
      <c r="AH207" s="2462"/>
      <c r="AI207" s="2462"/>
      <c r="AJ207" s="2462"/>
      <c r="AK207" s="611"/>
    </row>
    <row r="208" spans="1:40">
      <c r="A208" s="606"/>
      <c r="B208" s="2461"/>
      <c r="C208" s="2461"/>
      <c r="D208" s="2461"/>
      <c r="E208" s="2461"/>
      <c r="F208" s="2461"/>
      <c r="G208" s="2461"/>
      <c r="H208" s="2461"/>
      <c r="I208" s="2461"/>
      <c r="J208" s="2461"/>
      <c r="K208" s="2461"/>
      <c r="L208" s="2461"/>
      <c r="M208" s="2461"/>
      <c r="N208" s="2461"/>
      <c r="O208" s="2461"/>
      <c r="P208" s="2461"/>
      <c r="Q208" s="2461"/>
      <c r="R208" s="2461"/>
      <c r="S208" s="2461"/>
      <c r="T208" s="2461"/>
      <c r="U208" s="2461"/>
      <c r="V208" s="2461"/>
      <c r="W208" s="2461"/>
      <c r="X208" s="2461"/>
      <c r="Y208" s="2461"/>
      <c r="Z208" s="2461"/>
      <c r="AA208" s="2461"/>
      <c r="AB208" s="2461"/>
      <c r="AC208" s="847"/>
      <c r="AD208" s="2462"/>
      <c r="AE208" s="2462"/>
      <c r="AF208" s="2462"/>
      <c r="AG208" s="2462"/>
      <c r="AH208" s="2462"/>
      <c r="AI208" s="2462"/>
      <c r="AJ208" s="2462"/>
      <c r="AK208" s="611"/>
    </row>
    <row r="209" spans="1:37">
      <c r="A209" s="606"/>
      <c r="B209" s="2472" t="s">
        <v>1627</v>
      </c>
      <c r="C209" s="2472"/>
      <c r="D209" s="2472"/>
      <c r="E209" s="2472"/>
      <c r="F209" s="2472"/>
      <c r="G209" s="2472"/>
      <c r="H209" s="2472"/>
      <c r="I209" s="2472"/>
      <c r="J209" s="2472"/>
      <c r="K209" s="2472"/>
      <c r="L209" s="2472"/>
      <c r="M209" s="2472"/>
      <c r="N209" s="2472"/>
      <c r="O209" s="2472"/>
      <c r="P209" s="2472"/>
      <c r="Q209" s="2472"/>
      <c r="R209" s="2472"/>
      <c r="S209" s="2472"/>
      <c r="T209" s="2472"/>
      <c r="U209" s="2472"/>
      <c r="V209" s="2472"/>
      <c r="W209" s="2472"/>
      <c r="X209" s="2472"/>
      <c r="Y209" s="2472"/>
      <c r="Z209" s="2472"/>
      <c r="AA209" s="2472"/>
      <c r="AB209" s="2472"/>
      <c r="AC209" s="537"/>
      <c r="AD209" s="2491">
        <f>AB260</f>
        <v>0</v>
      </c>
      <c r="AE209" s="2491"/>
      <c r="AF209" s="2491"/>
      <c r="AG209" s="2491"/>
      <c r="AH209" s="2491"/>
      <c r="AI209" s="2491"/>
      <c r="AJ209" s="2491"/>
      <c r="AK209" s="611"/>
    </row>
    <row r="210" spans="1:37">
      <c r="A210" s="606"/>
      <c r="B210" s="2618" t="s">
        <v>1590</v>
      </c>
      <c r="C210" s="2618"/>
      <c r="D210" s="2618"/>
      <c r="E210" s="2618"/>
      <c r="F210" s="2618"/>
      <c r="G210" s="2618"/>
      <c r="H210" s="2618"/>
      <c r="I210" s="2618"/>
      <c r="J210" s="2618"/>
      <c r="K210" s="2618"/>
      <c r="L210" s="2618"/>
      <c r="M210" s="2618"/>
      <c r="N210" s="2618"/>
      <c r="O210" s="2618"/>
      <c r="P210" s="2618"/>
      <c r="Q210" s="2618"/>
      <c r="R210" s="2618"/>
      <c r="S210" s="2618"/>
      <c r="T210" s="2618"/>
      <c r="U210" s="2618"/>
      <c r="V210" s="2618"/>
      <c r="W210" s="2618"/>
      <c r="X210" s="2618"/>
      <c r="Y210" s="2618"/>
      <c r="Z210" s="2618"/>
      <c r="AA210" s="2618"/>
      <c r="AB210" s="2618"/>
      <c r="AC210" s="847"/>
      <c r="AD210" s="2492">
        <f>'Sources and Uses Budget'!B15</f>
        <v>0</v>
      </c>
      <c r="AE210" s="2492"/>
      <c r="AF210" s="2492"/>
      <c r="AG210" s="2492"/>
      <c r="AH210" s="2492"/>
      <c r="AI210" s="2492"/>
      <c r="AJ210" s="2492"/>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96">
        <f>SUM(AD199:AJ209)-AD210</f>
        <v>26552934</v>
      </c>
      <c r="AE211" s="2496"/>
      <c r="AF211" s="2496"/>
      <c r="AG211" s="2496"/>
      <c r="AH211" s="2496"/>
      <c r="AI211" s="2496"/>
      <c r="AJ211" s="2496"/>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5" t="s">
        <v>1607</v>
      </c>
      <c r="J222" s="2465"/>
      <c r="K222" s="2465"/>
      <c r="L222" s="537"/>
      <c r="M222" s="537"/>
      <c r="N222" s="537"/>
      <c r="O222" s="537"/>
      <c r="P222" s="537"/>
      <c r="Q222" s="537"/>
      <c r="R222" s="537"/>
      <c r="S222" s="537"/>
      <c r="T222" s="2653" t="s">
        <v>1601</v>
      </c>
      <c r="U222" s="2653"/>
      <c r="V222" s="2653"/>
      <c r="W222" s="2653"/>
      <c r="X222" s="2653"/>
      <c r="Y222" s="2653"/>
      <c r="Z222" s="850"/>
      <c r="AA222" s="490"/>
      <c r="AB222" s="2460" t="s">
        <v>1602</v>
      </c>
      <c r="AC222" s="2460"/>
      <c r="AD222" s="2460"/>
      <c r="AE222" s="2460"/>
      <c r="AF222" s="2460"/>
      <c r="AG222" s="2460"/>
      <c r="AH222" s="828"/>
      <c r="AI222" s="828"/>
      <c r="AJ222" s="828"/>
      <c r="AK222" s="611"/>
    </row>
    <row r="223" spans="1:37">
      <c r="A223" s="606"/>
      <c r="B223" s="2463" t="s">
        <v>1587</v>
      </c>
      <c r="C223" s="2463"/>
      <c r="D223" s="2463"/>
      <c r="E223" s="2463"/>
      <c r="F223" s="2463"/>
      <c r="G223" s="2463"/>
      <c r="I223" s="2464" t="s">
        <v>1608</v>
      </c>
      <c r="J223" s="2464"/>
      <c r="K223" s="2464"/>
      <c r="L223" s="1009"/>
      <c r="N223" s="2470" t="s">
        <v>1603</v>
      </c>
      <c r="O223" s="2470"/>
      <c r="P223" s="2470"/>
      <c r="Q223" s="2470"/>
      <c r="R223" s="2470"/>
      <c r="T223" s="2470" t="s">
        <v>1604</v>
      </c>
      <c r="U223" s="2470"/>
      <c r="V223" s="2470"/>
      <c r="W223" s="2470"/>
      <c r="X223" s="2470"/>
      <c r="Y223" s="2470"/>
      <c r="Z223" s="851"/>
      <c r="AA223" s="490"/>
      <c r="AB223" s="2607" t="s">
        <v>1605</v>
      </c>
      <c r="AC223" s="2607"/>
      <c r="AD223" s="2607"/>
      <c r="AE223" s="2607"/>
      <c r="AF223" s="2607"/>
      <c r="AG223" s="2607"/>
      <c r="AH223" s="828"/>
      <c r="AI223" s="828"/>
      <c r="AJ223" s="828"/>
      <c r="AK223" s="611"/>
    </row>
    <row r="224" spans="1:37">
      <c r="A224" s="606"/>
      <c r="B224" s="2467" t="s">
        <v>1184</v>
      </c>
      <c r="C224" s="2467"/>
      <c r="D224" s="2467"/>
      <c r="E224" s="2467"/>
      <c r="F224" s="2467"/>
      <c r="G224" s="2467"/>
      <c r="H224" s="853"/>
      <c r="I224" s="2466"/>
      <c r="J224" s="2466"/>
      <c r="K224" s="2466"/>
      <c r="L224" s="1009"/>
      <c r="N224" s="2471"/>
      <c r="O224" s="2471"/>
      <c r="P224" s="2471"/>
      <c r="Q224" s="2471"/>
      <c r="R224" s="2471"/>
      <c r="T224" s="2619"/>
      <c r="U224" s="2619"/>
      <c r="V224" s="2619"/>
      <c r="W224" s="2619"/>
      <c r="X224" s="2619"/>
      <c r="Y224" s="2619"/>
      <c r="Z224" s="852"/>
      <c r="AA224" s="852"/>
      <c r="AB224" s="2468">
        <f t="shared" ref="AB224:AB233" si="0">MAX(($T224-$N224)*$I224*12,0)</f>
        <v>0</v>
      </c>
      <c r="AC224" s="2468"/>
      <c r="AD224" s="2468"/>
      <c r="AE224" s="2468"/>
      <c r="AF224" s="2468"/>
      <c r="AG224" s="2468"/>
      <c r="AH224" s="828"/>
      <c r="AI224" s="828"/>
      <c r="AJ224" s="828"/>
      <c r="AK224" s="611"/>
    </row>
    <row r="225" spans="1:37">
      <c r="A225" s="606"/>
      <c r="B225" s="2467" t="s">
        <v>1184</v>
      </c>
      <c r="C225" s="2467"/>
      <c r="D225" s="2467"/>
      <c r="E225" s="2467"/>
      <c r="F225" s="2467"/>
      <c r="G225" s="2467"/>
      <c r="I225" s="2466"/>
      <c r="J225" s="2466"/>
      <c r="K225" s="2466"/>
      <c r="L225" s="1009"/>
      <c r="N225" s="2471"/>
      <c r="O225" s="2471"/>
      <c r="P225" s="2471"/>
      <c r="Q225" s="2471"/>
      <c r="R225" s="2471"/>
      <c r="T225" s="2619"/>
      <c r="U225" s="2619"/>
      <c r="V225" s="2619"/>
      <c r="W225" s="2619"/>
      <c r="X225" s="2619"/>
      <c r="Y225" s="2619"/>
      <c r="Z225" s="852"/>
      <c r="AA225" s="852"/>
      <c r="AB225" s="2468">
        <f t="shared" si="0"/>
        <v>0</v>
      </c>
      <c r="AC225" s="2468"/>
      <c r="AD225" s="2468"/>
      <c r="AE225" s="2468"/>
      <c r="AF225" s="2468"/>
      <c r="AG225" s="2468"/>
      <c r="AH225" s="828"/>
      <c r="AI225" s="828"/>
      <c r="AJ225" s="828"/>
      <c r="AK225" s="611"/>
    </row>
    <row r="226" spans="1:37">
      <c r="A226" s="606"/>
      <c r="B226" s="2467" t="s">
        <v>1184</v>
      </c>
      <c r="C226" s="2467"/>
      <c r="D226" s="2467"/>
      <c r="E226" s="2467"/>
      <c r="F226" s="2467"/>
      <c r="G226" s="2467"/>
      <c r="I226" s="2466"/>
      <c r="J226" s="2466"/>
      <c r="K226" s="2466"/>
      <c r="L226" s="1009"/>
      <c r="N226" s="2471"/>
      <c r="O226" s="2471"/>
      <c r="P226" s="2471"/>
      <c r="Q226" s="2471"/>
      <c r="R226" s="2471"/>
      <c r="T226" s="2619"/>
      <c r="U226" s="2619"/>
      <c r="V226" s="2619"/>
      <c r="W226" s="2619"/>
      <c r="X226" s="2619"/>
      <c r="Y226" s="2619"/>
      <c r="Z226" s="852"/>
      <c r="AA226" s="852"/>
      <c r="AB226" s="2468">
        <f t="shared" si="0"/>
        <v>0</v>
      </c>
      <c r="AC226" s="2468"/>
      <c r="AD226" s="2468"/>
      <c r="AE226" s="2468"/>
      <c r="AF226" s="2468"/>
      <c r="AG226" s="2468"/>
      <c r="AH226" s="828"/>
      <c r="AI226" s="828"/>
      <c r="AJ226" s="828"/>
      <c r="AK226" s="611"/>
    </row>
    <row r="227" spans="1:37">
      <c r="A227" s="606"/>
      <c r="B227" s="2467" t="s">
        <v>1184</v>
      </c>
      <c r="C227" s="2467"/>
      <c r="D227" s="2467"/>
      <c r="E227" s="2467"/>
      <c r="F227" s="2467"/>
      <c r="G227" s="2467"/>
      <c r="I227" s="2466"/>
      <c r="J227" s="2466"/>
      <c r="K227" s="2466"/>
      <c r="L227" s="1009"/>
      <c r="N227" s="2471"/>
      <c r="O227" s="2471"/>
      <c r="P227" s="2471"/>
      <c r="Q227" s="2471"/>
      <c r="R227" s="2471"/>
      <c r="T227" s="2619"/>
      <c r="U227" s="2619"/>
      <c r="V227" s="2619"/>
      <c r="W227" s="2619"/>
      <c r="X227" s="2619"/>
      <c r="Y227" s="2619"/>
      <c r="Z227" s="852"/>
      <c r="AA227" s="852"/>
      <c r="AB227" s="2468">
        <f t="shared" si="0"/>
        <v>0</v>
      </c>
      <c r="AC227" s="2468"/>
      <c r="AD227" s="2468"/>
      <c r="AE227" s="2468"/>
      <c r="AF227" s="2468"/>
      <c r="AG227" s="2468"/>
      <c r="AH227" s="828"/>
      <c r="AI227" s="828"/>
      <c r="AJ227" s="828"/>
      <c r="AK227" s="611"/>
    </row>
    <row r="228" spans="1:37">
      <c r="A228" s="606"/>
      <c r="B228" s="2467" t="s">
        <v>1184</v>
      </c>
      <c r="C228" s="2467"/>
      <c r="D228" s="2467"/>
      <c r="E228" s="2467"/>
      <c r="F228" s="2467"/>
      <c r="G228" s="2467"/>
      <c r="I228" s="2466"/>
      <c r="J228" s="2466"/>
      <c r="K228" s="2466"/>
      <c r="L228" s="1016"/>
      <c r="N228" s="2471"/>
      <c r="O228" s="2471"/>
      <c r="P228" s="2471"/>
      <c r="Q228" s="2471"/>
      <c r="R228" s="2471"/>
      <c r="T228" s="2619"/>
      <c r="U228" s="2619"/>
      <c r="V228" s="2619"/>
      <c r="W228" s="2619"/>
      <c r="X228" s="2619"/>
      <c r="Y228" s="2619"/>
      <c r="Z228" s="852"/>
      <c r="AA228" s="852"/>
      <c r="AB228" s="2468">
        <f t="shared" si="0"/>
        <v>0</v>
      </c>
      <c r="AC228" s="2468"/>
      <c r="AD228" s="2468"/>
      <c r="AE228" s="2468"/>
      <c r="AF228" s="2468"/>
      <c r="AG228" s="2468"/>
      <c r="AH228" s="828"/>
      <c r="AI228" s="828"/>
      <c r="AJ228" s="828"/>
      <c r="AK228" s="611"/>
    </row>
    <row r="229" spans="1:37">
      <c r="A229" s="606"/>
      <c r="B229" s="2467" t="s">
        <v>1184</v>
      </c>
      <c r="C229" s="2467"/>
      <c r="D229" s="2467"/>
      <c r="E229" s="2467"/>
      <c r="F229" s="2467"/>
      <c r="G229" s="2467"/>
      <c r="I229" s="2466"/>
      <c r="J229" s="2466"/>
      <c r="K229" s="2466"/>
      <c r="L229" s="1016"/>
      <c r="N229" s="2471"/>
      <c r="O229" s="2471"/>
      <c r="P229" s="2471"/>
      <c r="Q229" s="2471"/>
      <c r="R229" s="2471"/>
      <c r="T229" s="2619"/>
      <c r="U229" s="2619"/>
      <c r="V229" s="2619"/>
      <c r="W229" s="2619"/>
      <c r="X229" s="2619"/>
      <c r="Y229" s="2619"/>
      <c r="Z229" s="852"/>
      <c r="AA229" s="852"/>
      <c r="AB229" s="2468">
        <f t="shared" si="0"/>
        <v>0</v>
      </c>
      <c r="AC229" s="2468"/>
      <c r="AD229" s="2468"/>
      <c r="AE229" s="2468"/>
      <c r="AF229" s="2468"/>
      <c r="AG229" s="2468"/>
      <c r="AH229" s="828"/>
      <c r="AI229" s="828"/>
      <c r="AJ229" s="828"/>
      <c r="AK229" s="611"/>
    </row>
    <row r="230" spans="1:37">
      <c r="A230" s="606"/>
      <c r="B230" s="2467" t="s">
        <v>1184</v>
      </c>
      <c r="C230" s="2467"/>
      <c r="D230" s="2467"/>
      <c r="E230" s="2467"/>
      <c r="F230" s="2467"/>
      <c r="G230" s="2467"/>
      <c r="I230" s="2466"/>
      <c r="J230" s="2466"/>
      <c r="K230" s="2466"/>
      <c r="L230" s="1016"/>
      <c r="N230" s="2471"/>
      <c r="O230" s="2471"/>
      <c r="P230" s="2471"/>
      <c r="Q230" s="2471"/>
      <c r="R230" s="2471"/>
      <c r="T230" s="2619"/>
      <c r="U230" s="2619"/>
      <c r="V230" s="2619"/>
      <c r="W230" s="2619"/>
      <c r="X230" s="2619"/>
      <c r="Y230" s="2619"/>
      <c r="Z230" s="852"/>
      <c r="AA230" s="852"/>
      <c r="AB230" s="2468">
        <f t="shared" si="0"/>
        <v>0</v>
      </c>
      <c r="AC230" s="2468"/>
      <c r="AD230" s="2468"/>
      <c r="AE230" s="2468"/>
      <c r="AF230" s="2468"/>
      <c r="AG230" s="2468"/>
      <c r="AH230" s="828"/>
      <c r="AI230" s="828"/>
      <c r="AJ230" s="828"/>
      <c r="AK230" s="611"/>
    </row>
    <row r="231" spans="1:37">
      <c r="A231" s="606"/>
      <c r="B231" s="2467" t="s">
        <v>1184</v>
      </c>
      <c r="C231" s="2467"/>
      <c r="D231" s="2467"/>
      <c r="E231" s="2467"/>
      <c r="F231" s="2467"/>
      <c r="G231" s="2467"/>
      <c r="I231" s="2466"/>
      <c r="J231" s="2466"/>
      <c r="K231" s="2466"/>
      <c r="L231" s="1016"/>
      <c r="N231" s="2471"/>
      <c r="O231" s="2471"/>
      <c r="P231" s="2471"/>
      <c r="Q231" s="2471"/>
      <c r="R231" s="2471"/>
      <c r="T231" s="2619"/>
      <c r="U231" s="2619"/>
      <c r="V231" s="2619"/>
      <c r="W231" s="2619"/>
      <c r="X231" s="2619"/>
      <c r="Y231" s="2619"/>
      <c r="Z231" s="852"/>
      <c r="AA231" s="852"/>
      <c r="AB231" s="2468">
        <f t="shared" si="0"/>
        <v>0</v>
      </c>
      <c r="AC231" s="2468"/>
      <c r="AD231" s="2468"/>
      <c r="AE231" s="2468"/>
      <c r="AF231" s="2468"/>
      <c r="AG231" s="2468"/>
      <c r="AH231" s="828"/>
      <c r="AI231" s="828"/>
      <c r="AJ231" s="828"/>
      <c r="AK231" s="611"/>
    </row>
    <row r="232" spans="1:37">
      <c r="A232" s="606"/>
      <c r="B232" s="2467" t="s">
        <v>1184</v>
      </c>
      <c r="C232" s="2467"/>
      <c r="D232" s="2467"/>
      <c r="E232" s="2467"/>
      <c r="F232" s="2467"/>
      <c r="G232" s="2467"/>
      <c r="I232" s="2466"/>
      <c r="J232" s="2466"/>
      <c r="K232" s="2466"/>
      <c r="L232" s="1016"/>
      <c r="N232" s="2471"/>
      <c r="O232" s="2471"/>
      <c r="P232" s="2471"/>
      <c r="Q232" s="2471"/>
      <c r="R232" s="2471"/>
      <c r="T232" s="2619"/>
      <c r="U232" s="2619"/>
      <c r="V232" s="2619"/>
      <c r="W232" s="2619"/>
      <c r="X232" s="2619"/>
      <c r="Y232" s="2619"/>
      <c r="Z232" s="852"/>
      <c r="AA232" s="852"/>
      <c r="AB232" s="2468">
        <f t="shared" si="0"/>
        <v>0</v>
      </c>
      <c r="AC232" s="2468"/>
      <c r="AD232" s="2468"/>
      <c r="AE232" s="2468"/>
      <c r="AF232" s="2468"/>
      <c r="AG232" s="2468"/>
      <c r="AH232" s="828"/>
      <c r="AI232" s="828"/>
      <c r="AJ232" s="828"/>
      <c r="AK232" s="611"/>
    </row>
    <row r="233" spans="1:37">
      <c r="A233" s="606"/>
      <c r="B233" s="2467" t="s">
        <v>1184</v>
      </c>
      <c r="C233" s="2467"/>
      <c r="D233" s="2467"/>
      <c r="E233" s="2467"/>
      <c r="F233" s="2467"/>
      <c r="G233" s="2467"/>
      <c r="I233" s="2469"/>
      <c r="J233" s="2469"/>
      <c r="K233" s="2469"/>
      <c r="L233" s="1016"/>
      <c r="N233" s="2471"/>
      <c r="O233" s="2471"/>
      <c r="P233" s="2471"/>
      <c r="Q233" s="2471"/>
      <c r="R233" s="2471"/>
      <c r="T233" s="2619"/>
      <c r="U233" s="2619"/>
      <c r="V233" s="2619"/>
      <c r="W233" s="2619"/>
      <c r="X233" s="2619"/>
      <c r="Y233" s="2619"/>
      <c r="Z233" s="852"/>
      <c r="AA233" s="852"/>
      <c r="AB233" s="2617">
        <f t="shared" si="0"/>
        <v>0</v>
      </c>
      <c r="AC233" s="2617"/>
      <c r="AD233" s="2617"/>
      <c r="AE233" s="2617"/>
      <c r="AF233" s="2617"/>
      <c r="AG233" s="261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68">
        <f>SUM(AB224:AB233)</f>
        <v>0</v>
      </c>
      <c r="AC234" s="2468"/>
      <c r="AD234" s="2468"/>
      <c r="AE234" s="2468"/>
      <c r="AF234" s="2468"/>
      <c r="AG234" s="246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20"/>
      <c r="AC240" s="2620"/>
      <c r="AD240" s="2620"/>
      <c r="AE240" s="2620"/>
      <c r="AF240" s="2620"/>
      <c r="AG240" s="2620"/>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20"/>
      <c r="AC243" s="2620"/>
      <c r="AD243" s="2620"/>
      <c r="AE243" s="2620"/>
      <c r="AF243" s="2620"/>
      <c r="AG243" s="2620"/>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52"/>
      <c r="AC244" s="2652"/>
      <c r="AD244" s="2652"/>
      <c r="AE244" s="2652"/>
      <c r="AF244" s="2652"/>
      <c r="AG244" s="2652"/>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34">
        <f>IFERROR(AB243/AB244,0)</f>
        <v>0</v>
      </c>
      <c r="AC245" s="2634"/>
      <c r="AD245" s="2634"/>
      <c r="AE245" s="2634"/>
      <c r="AF245" s="2634"/>
      <c r="AG245" s="2634"/>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7">
        <f>MAX(AB240,AB245)</f>
        <v>0</v>
      </c>
      <c r="AC247" s="2617"/>
      <c r="AD247" s="2617"/>
      <c r="AE247" s="2617"/>
      <c r="AF247" s="2617"/>
      <c r="AG247" s="261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8">
        <f>AB234+AB247</f>
        <v>0</v>
      </c>
      <c r="AC250" s="2468"/>
      <c r="AD250" s="2468"/>
      <c r="AE250" s="2468"/>
      <c r="AF250" s="2468"/>
      <c r="AG250" s="2468"/>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00">
        <v>0.05</v>
      </c>
      <c r="AC251" s="2500"/>
      <c r="AD251" s="2500"/>
      <c r="AE251" s="2500"/>
      <c r="AF251" s="2500"/>
      <c r="AG251" s="2500"/>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01">
        <f>AB250-(AB250*AB251)</f>
        <v>0</v>
      </c>
      <c r="AC252" s="2501"/>
      <c r="AD252" s="2501"/>
      <c r="AE252" s="2501"/>
      <c r="AF252" s="2501"/>
      <c r="AG252" s="2501"/>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8">
        <f>AB252/AB258</f>
        <v>0</v>
      </c>
      <c r="AC254" s="2468"/>
      <c r="AD254" s="2468"/>
      <c r="AE254" s="2468"/>
      <c r="AF254" s="2468"/>
      <c r="AG254" s="246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60">
        <v>15</v>
      </c>
      <c r="AC256" s="2460"/>
      <c r="AD256" s="2460"/>
      <c r="AE256" s="2460"/>
      <c r="AF256" s="2460"/>
      <c r="AG256" s="2460"/>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02">
        <v>0.04</v>
      </c>
      <c r="AC257" s="2502"/>
      <c r="AD257" s="2502"/>
      <c r="AE257" s="2502"/>
      <c r="AF257" s="2502"/>
      <c r="AG257" s="2502"/>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73">
        <v>1.1499999999999999</v>
      </c>
      <c r="AC258" s="2473"/>
      <c r="AD258" s="2473"/>
      <c r="AE258" s="2473"/>
      <c r="AF258" s="2473"/>
      <c r="AG258" s="247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93">
        <f>PV(AB257/12,AB256*12,-AB254/12, ,0)</f>
        <v>0</v>
      </c>
      <c r="AC260" s="2494"/>
      <c r="AD260" s="2494"/>
      <c r="AE260" s="2494"/>
      <c r="AF260" s="2494"/>
      <c r="AG260" s="2495"/>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7">
        <v>0.03</v>
      </c>
      <c r="AC266" s="2498"/>
      <c r="AD266" s="2498"/>
      <c r="AE266" s="2498"/>
      <c r="AF266" s="2498"/>
      <c r="AG266" s="2499"/>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7">
        <f>AD211*(1-AB266)</f>
        <v>25756345.98</v>
      </c>
      <c r="AH268" s="2487"/>
      <c r="AI268" s="2487"/>
      <c r="AJ268" s="2487"/>
      <c r="AK268" s="2487"/>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7">
        <f>'Sources and Uses Budget'!C105</f>
        <v>41665275</v>
      </c>
      <c r="AH269" s="2487"/>
      <c r="AI269" s="2487"/>
      <c r="AJ269" s="2487"/>
      <c r="AK269" s="248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8">
        <f>ROUNDDOWN(IF(AND(C292="Yes",AK84=10),((AG268*2)/AG269),AG268/AG269),2)</f>
        <v>1.23</v>
      </c>
      <c r="AH270" s="2488"/>
      <c r="AI270" s="2488"/>
      <c r="AJ270" s="2488"/>
      <c r="AK270" s="2488"/>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89">
        <f>IFERROR(IF(AG270=0,0,IF((AG270*100)&gt;8,8,(AG270*100))),0)</f>
        <v>8</v>
      </c>
      <c r="AL273" s="2489"/>
      <c r="AM273" s="2490"/>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81" t="s">
        <v>545</v>
      </c>
      <c r="D278" s="2481"/>
      <c r="E278" s="548"/>
      <c r="F278" s="2638" t="s">
        <v>2026</v>
      </c>
      <c r="G278" s="2639"/>
      <c r="H278" s="2639"/>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39"/>
      <c r="AD278" s="2640"/>
      <c r="AE278" s="551"/>
      <c r="AF278" s="636"/>
      <c r="AG278" s="2482" t="s">
        <v>1363</v>
      </c>
      <c r="AH278" s="2482"/>
      <c r="AI278" s="2482"/>
      <c r="AJ278" s="2482"/>
      <c r="AK278" s="551"/>
      <c r="AL278" s="551"/>
      <c r="AM278" s="551"/>
      <c r="AO278" s="551"/>
    </row>
    <row r="279" spans="1:52" ht="13.75" customHeight="1">
      <c r="A279" s="551"/>
      <c r="B279" s="597"/>
      <c r="C279" s="637"/>
      <c r="D279" s="551"/>
      <c r="E279" s="548"/>
      <c r="F279" s="2641"/>
      <c r="G279" s="2642"/>
      <c r="H279" s="2642"/>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42"/>
      <c r="AD279" s="2643"/>
      <c r="AE279" s="551"/>
      <c r="AF279" s="636"/>
      <c r="AG279" s="636"/>
      <c r="AH279" s="636"/>
      <c r="AI279" s="636"/>
      <c r="AJ279" s="551"/>
      <c r="AK279" s="551"/>
      <c r="AL279" s="551"/>
      <c r="AM279" s="551"/>
      <c r="AO279" s="551"/>
    </row>
    <row r="280" spans="1:52">
      <c r="A280" s="551"/>
      <c r="B280" s="597"/>
      <c r="C280" s="637"/>
      <c r="D280" s="551"/>
      <c r="E280" s="548"/>
      <c r="F280" s="2641"/>
      <c r="G280" s="2642"/>
      <c r="H280" s="2642"/>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42"/>
      <c r="AD280" s="2643"/>
      <c r="AE280" s="551"/>
      <c r="AF280" s="636"/>
      <c r="AG280" s="636"/>
      <c r="AH280" s="636"/>
      <c r="AI280" s="636"/>
      <c r="AJ280" s="551"/>
      <c r="AK280" s="551"/>
      <c r="AL280" s="551"/>
      <c r="AM280" s="551"/>
      <c r="AO280" s="551"/>
      <c r="AP280" s="638"/>
    </row>
    <row r="281" spans="1:52">
      <c r="A281" s="551"/>
      <c r="B281" s="597"/>
      <c r="C281" s="637"/>
      <c r="D281" s="551"/>
      <c r="E281" s="548"/>
      <c r="F281" s="2641"/>
      <c r="G281" s="2642"/>
      <c r="H281" s="2642"/>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42"/>
      <c r="AD281" s="2643"/>
      <c r="AE281" s="551"/>
      <c r="AF281" s="636"/>
      <c r="AG281" s="636"/>
      <c r="AH281" s="636"/>
      <c r="AI281" s="636"/>
      <c r="AJ281" s="551"/>
      <c r="AK281" s="551"/>
      <c r="AL281" s="551"/>
      <c r="AM281" s="551"/>
      <c r="AO281" s="551"/>
      <c r="AP281" s="638"/>
    </row>
    <row r="282" spans="1:52" ht="13.75" customHeight="1">
      <c r="A282" s="551"/>
      <c r="B282" s="597"/>
      <c r="C282" s="2483"/>
      <c r="D282" s="2483"/>
      <c r="E282" s="548"/>
      <c r="F282" s="2644"/>
      <c r="G282" s="2645"/>
      <c r="H282" s="2645"/>
      <c r="I282" s="2645"/>
      <c r="J282" s="2645"/>
      <c r="K282" s="2645"/>
      <c r="L282" s="2645"/>
      <c r="M282" s="2645"/>
      <c r="N282" s="2645"/>
      <c r="O282" s="2645"/>
      <c r="P282" s="2645"/>
      <c r="Q282" s="2645"/>
      <c r="R282" s="2645"/>
      <c r="S282" s="2645"/>
      <c r="T282" s="2645"/>
      <c r="U282" s="2645"/>
      <c r="V282" s="2645"/>
      <c r="W282" s="2645"/>
      <c r="X282" s="2645"/>
      <c r="Y282" s="2645"/>
      <c r="Z282" s="2645"/>
      <c r="AA282" s="2645"/>
      <c r="AB282" s="2645"/>
      <c r="AC282" s="2645"/>
      <c r="AD282" s="2646"/>
      <c r="AE282" s="551"/>
      <c r="AF282" s="636"/>
      <c r="AG282" s="2482"/>
      <c r="AH282" s="2482"/>
      <c r="AI282" s="2482"/>
      <c r="AJ282" s="2482"/>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89">
        <f>IF($C$278="yes",10,0)</f>
        <v>10</v>
      </c>
      <c r="AL285" s="2489"/>
      <c r="AM285" s="2490"/>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9" t="s">
        <v>1382</v>
      </c>
      <c r="B292" s="1629"/>
      <c r="C292" s="2477" t="s">
        <v>545</v>
      </c>
      <c r="D292" s="2481"/>
      <c r="E292" s="548"/>
      <c r="F292" s="2509" t="s">
        <v>1383</v>
      </c>
      <c r="G292" s="2510"/>
      <c r="H292" s="2510"/>
      <c r="I292" s="2510"/>
      <c r="J292" s="2510"/>
      <c r="K292" s="2510"/>
      <c r="L292" s="2510"/>
      <c r="M292" s="2510"/>
      <c r="N292" s="2510"/>
      <c r="O292" s="2510"/>
      <c r="P292" s="2510"/>
      <c r="Q292" s="2510"/>
      <c r="R292" s="2510"/>
      <c r="S292" s="2510"/>
      <c r="T292" s="2510"/>
      <c r="U292" s="2510"/>
      <c r="V292" s="2510"/>
      <c r="W292" s="2510"/>
      <c r="X292" s="2510"/>
      <c r="Y292" s="2510"/>
      <c r="Z292" s="2510"/>
      <c r="AA292" s="2510"/>
      <c r="AB292" s="2510"/>
      <c r="AC292" s="2510"/>
      <c r="AD292" s="2511"/>
      <c r="AE292" s="643"/>
      <c r="AF292" s="551"/>
      <c r="AG292" s="2512" t="s">
        <v>2019</v>
      </c>
      <c r="AH292" s="2512"/>
      <c r="AI292" s="2512"/>
      <c r="AJ292" s="2512"/>
      <c r="AK292" s="2512"/>
      <c r="AL292" s="551"/>
      <c r="AM292" s="551"/>
      <c r="AN292" s="73"/>
      <c r="AO292" s="14"/>
      <c r="AP292" s="30"/>
      <c r="AS292" s="571"/>
      <c r="AT292" s="571"/>
      <c r="AU292" s="571"/>
      <c r="AV292" s="32"/>
      <c r="AW292" s="32"/>
    </row>
    <row r="293" spans="1:49" ht="13">
      <c r="A293" s="641"/>
      <c r="B293" s="597"/>
      <c r="F293" s="2503"/>
      <c r="G293" s="2504"/>
      <c r="H293" s="2504"/>
      <c r="I293" s="2504"/>
      <c r="J293" s="2504"/>
      <c r="K293" s="2504"/>
      <c r="L293" s="2504"/>
      <c r="M293" s="2504"/>
      <c r="N293" s="2504"/>
      <c r="O293" s="2504"/>
      <c r="P293" s="2504"/>
      <c r="Q293" s="2504"/>
      <c r="R293" s="2504"/>
      <c r="S293" s="2504"/>
      <c r="T293" s="2504"/>
      <c r="U293" s="2504"/>
      <c r="V293" s="2504"/>
      <c r="W293" s="2504"/>
      <c r="X293" s="2504"/>
      <c r="Y293" s="2504"/>
      <c r="Z293" s="2504"/>
      <c r="AA293" s="2504"/>
      <c r="AB293" s="2504"/>
      <c r="AC293" s="2504"/>
      <c r="AD293" s="2505"/>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503"/>
      <c r="G294" s="2504"/>
      <c r="H294" s="2504"/>
      <c r="I294" s="2504"/>
      <c r="J294" s="2504"/>
      <c r="K294" s="2504"/>
      <c r="L294" s="2504"/>
      <c r="M294" s="2504"/>
      <c r="N294" s="2504"/>
      <c r="O294" s="2504"/>
      <c r="P294" s="2504"/>
      <c r="Q294" s="2504"/>
      <c r="R294" s="2504"/>
      <c r="S294" s="2504"/>
      <c r="T294" s="2504"/>
      <c r="U294" s="2504"/>
      <c r="V294" s="2504"/>
      <c r="W294" s="2504"/>
      <c r="X294" s="2504"/>
      <c r="Y294" s="2504"/>
      <c r="Z294" s="2504"/>
      <c r="AA294" s="2504"/>
      <c r="AB294" s="2504"/>
      <c r="AC294" s="2504"/>
      <c r="AD294" s="2505"/>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503" t="s">
        <v>2027</v>
      </c>
      <c r="G295" s="2504"/>
      <c r="H295" s="2504"/>
      <c r="I295" s="2504"/>
      <c r="J295" s="2504"/>
      <c r="K295" s="2504"/>
      <c r="L295" s="2504"/>
      <c r="M295" s="2504"/>
      <c r="N295" s="2504"/>
      <c r="O295" s="2504"/>
      <c r="P295" s="2504"/>
      <c r="Q295" s="2504"/>
      <c r="R295" s="2504"/>
      <c r="S295" s="2504"/>
      <c r="T295" s="2504"/>
      <c r="U295" s="2504"/>
      <c r="V295" s="2504"/>
      <c r="W295" s="2504"/>
      <c r="X295" s="2504"/>
      <c r="Y295" s="2504"/>
      <c r="Z295" s="2504"/>
      <c r="AA295" s="2504"/>
      <c r="AB295" s="2504"/>
      <c r="AC295" s="2504"/>
      <c r="AD295" s="2505"/>
      <c r="AE295" s="643"/>
      <c r="AF295" s="552"/>
      <c r="AH295" s="552"/>
      <c r="AI295" s="552"/>
      <c r="AJ295" s="551"/>
      <c r="AK295" s="551"/>
      <c r="AL295" s="551"/>
      <c r="AM295" s="551"/>
      <c r="AN295" s="73"/>
      <c r="AO295" s="14"/>
      <c r="AP295" s="612">
        <f>MAX(AP293,AP294)</f>
        <v>10</v>
      </c>
      <c r="AQ295" s="575" t="s">
        <v>1316</v>
      </c>
      <c r="AS295" s="571"/>
      <c r="AT295" s="571"/>
      <c r="AU295" s="571"/>
      <c r="AV295" s="32"/>
      <c r="AW295" s="32"/>
    </row>
    <row r="296" spans="1:49" ht="13">
      <c r="A296" s="641"/>
      <c r="B296" s="597"/>
      <c r="F296" s="2503"/>
      <c r="G296" s="2504"/>
      <c r="H296" s="2504"/>
      <c r="I296" s="2504"/>
      <c r="J296" s="2504"/>
      <c r="K296" s="2504"/>
      <c r="L296" s="2504"/>
      <c r="M296" s="2504"/>
      <c r="N296" s="2504"/>
      <c r="O296" s="2504"/>
      <c r="P296" s="2504"/>
      <c r="Q296" s="2504"/>
      <c r="R296" s="2504"/>
      <c r="S296" s="2504"/>
      <c r="T296" s="2504"/>
      <c r="U296" s="2504"/>
      <c r="V296" s="2504"/>
      <c r="W296" s="2504"/>
      <c r="X296" s="2504"/>
      <c r="Y296" s="2504"/>
      <c r="Z296" s="2504"/>
      <c r="AA296" s="2504"/>
      <c r="AB296" s="2504"/>
      <c r="AC296" s="2504"/>
      <c r="AD296" s="250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03" t="s">
        <v>1384</v>
      </c>
      <c r="G297" s="2504"/>
      <c r="H297" s="2504"/>
      <c r="I297" s="2504"/>
      <c r="J297" s="2504"/>
      <c r="K297" s="2504"/>
      <c r="L297" s="2504"/>
      <c r="M297" s="2504"/>
      <c r="N297" s="2504"/>
      <c r="O297" s="2504"/>
      <c r="P297" s="2504"/>
      <c r="Q297" s="2504"/>
      <c r="R297" s="2504"/>
      <c r="S297" s="2504"/>
      <c r="T297" s="2504"/>
      <c r="U297" s="2504"/>
      <c r="V297" s="2504"/>
      <c r="W297" s="2504"/>
      <c r="X297" s="2504"/>
      <c r="Y297" s="2504"/>
      <c r="Z297" s="2504"/>
      <c r="AA297" s="2504"/>
      <c r="AB297" s="2504"/>
      <c r="AC297" s="2504"/>
      <c r="AD297" s="250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03"/>
      <c r="G298" s="2504"/>
      <c r="H298" s="2504"/>
      <c r="I298" s="2504"/>
      <c r="J298" s="2504"/>
      <c r="K298" s="2504"/>
      <c r="L298" s="2504"/>
      <c r="M298" s="2504"/>
      <c r="N298" s="2504"/>
      <c r="O298" s="2504"/>
      <c r="P298" s="2504"/>
      <c r="Q298" s="2504"/>
      <c r="R298" s="2504"/>
      <c r="S298" s="2504"/>
      <c r="T298" s="2504"/>
      <c r="U298" s="2504"/>
      <c r="V298" s="2504"/>
      <c r="W298" s="2504"/>
      <c r="X298" s="2504"/>
      <c r="Y298" s="2504"/>
      <c r="Z298" s="2504"/>
      <c r="AA298" s="2504"/>
      <c r="AB298" s="2504"/>
      <c r="AC298" s="2504"/>
      <c r="AD298" s="250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03" t="s">
        <v>1385</v>
      </c>
      <c r="G299" s="2504"/>
      <c r="H299" s="2504"/>
      <c r="I299" s="2504"/>
      <c r="J299" s="2504"/>
      <c r="K299" s="2504"/>
      <c r="L299" s="2504"/>
      <c r="M299" s="2504"/>
      <c r="N299" s="2504"/>
      <c r="O299" s="2504"/>
      <c r="P299" s="2504"/>
      <c r="Q299" s="2504"/>
      <c r="R299" s="2504"/>
      <c r="S299" s="2504"/>
      <c r="T299" s="2504"/>
      <c r="U299" s="2504"/>
      <c r="V299" s="2504"/>
      <c r="W299" s="2504"/>
      <c r="X299" s="2504"/>
      <c r="Y299" s="2504"/>
      <c r="Z299" s="2504"/>
      <c r="AA299" s="2504"/>
      <c r="AB299" s="2504"/>
      <c r="AC299" s="2504"/>
      <c r="AD299" s="250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6"/>
      <c r="G300" s="2507"/>
      <c r="H300" s="2507"/>
      <c r="I300" s="2507"/>
      <c r="J300" s="2507"/>
      <c r="K300" s="2507"/>
      <c r="L300" s="2507"/>
      <c r="M300" s="2507"/>
      <c r="N300" s="2507"/>
      <c r="O300" s="2507"/>
      <c r="P300" s="2507"/>
      <c r="Q300" s="2507"/>
      <c r="R300" s="2507"/>
      <c r="S300" s="2507"/>
      <c r="T300" s="2507"/>
      <c r="U300" s="2507"/>
      <c r="V300" s="2507"/>
      <c r="W300" s="2507"/>
      <c r="X300" s="2507"/>
      <c r="Y300" s="2507"/>
      <c r="Z300" s="2507"/>
      <c r="AA300" s="2507"/>
      <c r="AB300" s="2507"/>
      <c r="AC300" s="2507"/>
      <c r="AD300" s="250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9" t="s">
        <v>1386</v>
      </c>
      <c r="B302" s="1629"/>
      <c r="C302" s="2481" t="s">
        <v>591</v>
      </c>
      <c r="D302" s="248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11" t="s">
        <v>2021</v>
      </c>
      <c r="G303" s="2412"/>
      <c r="H303" s="2412"/>
      <c r="I303" s="2412"/>
      <c r="J303" s="2412"/>
      <c r="K303" s="2412"/>
      <c r="L303" s="2412"/>
      <c r="M303" s="2412"/>
      <c r="N303" s="2412"/>
      <c r="O303" s="2412"/>
      <c r="P303" s="2412"/>
      <c r="Q303" s="2412"/>
      <c r="R303" s="2412"/>
      <c r="S303" s="2412"/>
      <c r="T303" s="2412"/>
      <c r="U303" s="2412"/>
      <c r="V303" s="2412"/>
      <c r="W303" s="2412"/>
      <c r="X303" s="2412"/>
      <c r="Y303" s="2412"/>
      <c r="Z303" s="2412"/>
      <c r="AA303" s="2412"/>
      <c r="AB303" s="2412"/>
      <c r="AC303" s="2412"/>
      <c r="AD303" s="2413"/>
      <c r="AE303" s="552"/>
      <c r="AF303" s="552"/>
      <c r="AG303" s="552"/>
      <c r="AH303" s="552"/>
      <c r="AI303" s="552"/>
      <c r="AJ303" s="551"/>
      <c r="AK303" s="551"/>
      <c r="AL303" s="551"/>
      <c r="AM303" s="551"/>
      <c r="AR303" s="649"/>
    </row>
    <row r="304" spans="1:49" ht="15" customHeight="1">
      <c r="A304" s="551"/>
      <c r="B304" s="552"/>
      <c r="C304" s="551"/>
      <c r="D304" s="552"/>
      <c r="E304" s="551"/>
      <c r="F304" s="2411"/>
      <c r="G304" s="2412"/>
      <c r="H304" s="2412"/>
      <c r="I304" s="2412"/>
      <c r="J304" s="2412"/>
      <c r="K304" s="2412"/>
      <c r="L304" s="2412"/>
      <c r="M304" s="2412"/>
      <c r="N304" s="2412"/>
      <c r="O304" s="2412"/>
      <c r="P304" s="2412"/>
      <c r="Q304" s="2412"/>
      <c r="R304" s="2412"/>
      <c r="S304" s="2412"/>
      <c r="T304" s="2412"/>
      <c r="U304" s="2412"/>
      <c r="V304" s="2412"/>
      <c r="W304" s="2412"/>
      <c r="X304" s="2412"/>
      <c r="Y304" s="2412"/>
      <c r="Z304" s="2412"/>
      <c r="AA304" s="2412"/>
      <c r="AB304" s="2412"/>
      <c r="AC304" s="2412"/>
      <c r="AD304" s="2413"/>
      <c r="AE304" s="552"/>
      <c r="AF304" s="552"/>
      <c r="AG304" s="552"/>
      <c r="AH304" s="552"/>
      <c r="AI304" s="552"/>
      <c r="AJ304" s="551"/>
      <c r="AK304" s="551"/>
      <c r="AL304" s="551"/>
      <c r="AM304" s="551"/>
      <c r="AR304" s="649"/>
    </row>
    <row r="305" spans="1:44">
      <c r="A305" s="551"/>
      <c r="B305" s="552"/>
      <c r="C305" s="551"/>
      <c r="D305" s="552"/>
      <c r="E305" s="551"/>
      <c r="F305" s="2411"/>
      <c r="G305" s="2412"/>
      <c r="H305" s="2412"/>
      <c r="I305" s="2412"/>
      <c r="J305" s="2412"/>
      <c r="K305" s="2412"/>
      <c r="L305" s="2412"/>
      <c r="M305" s="2412"/>
      <c r="N305" s="2412"/>
      <c r="O305" s="2412"/>
      <c r="P305" s="2412"/>
      <c r="Q305" s="2412"/>
      <c r="R305" s="2412"/>
      <c r="S305" s="2412"/>
      <c r="T305" s="2412"/>
      <c r="U305" s="2412"/>
      <c r="V305" s="2412"/>
      <c r="W305" s="2412"/>
      <c r="X305" s="2412"/>
      <c r="Y305" s="2412"/>
      <c r="Z305" s="2412"/>
      <c r="AA305" s="2412"/>
      <c r="AB305" s="2412"/>
      <c r="AC305" s="2412"/>
      <c r="AD305" s="241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8"/>
      <c r="G306" s="2409"/>
      <c r="H306" s="2409"/>
      <c r="I306" s="2409"/>
      <c r="J306" s="2409"/>
      <c r="K306" s="2409"/>
      <c r="L306" s="2409"/>
      <c r="M306" s="2409"/>
      <c r="N306" s="2409"/>
      <c r="O306" s="2409"/>
      <c r="P306" s="2409"/>
      <c r="Q306" s="2409"/>
      <c r="R306" s="2409"/>
      <c r="S306" s="2409"/>
      <c r="T306" s="2409"/>
      <c r="U306" s="2409"/>
      <c r="V306" s="2409"/>
      <c r="W306" s="2409"/>
      <c r="X306" s="2409"/>
      <c r="Y306" s="2409"/>
      <c r="Z306" s="2409"/>
      <c r="AA306" s="2409"/>
      <c r="AB306" s="2409"/>
      <c r="AC306" s="2409"/>
      <c r="AD306" s="241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9" t="s">
        <v>1389</v>
      </c>
      <c r="B310" s="1629"/>
      <c r="C310" s="2481" t="s">
        <v>591</v>
      </c>
      <c r="D310" s="248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503" t="s">
        <v>2028</v>
      </c>
      <c r="G311" s="2504"/>
      <c r="H311" s="2504"/>
      <c r="I311" s="2504"/>
      <c r="J311" s="2504"/>
      <c r="K311" s="2504"/>
      <c r="L311" s="2504"/>
      <c r="M311" s="2504"/>
      <c r="N311" s="2504"/>
      <c r="O311" s="2504"/>
      <c r="P311" s="2504"/>
      <c r="Q311" s="2504"/>
      <c r="R311" s="2504"/>
      <c r="S311" s="2504"/>
      <c r="T311" s="2504"/>
      <c r="U311" s="2504"/>
      <c r="V311" s="2504"/>
      <c r="W311" s="2504"/>
      <c r="X311" s="2504"/>
      <c r="Y311" s="2504"/>
      <c r="Z311" s="2504"/>
      <c r="AA311" s="2504"/>
      <c r="AB311" s="2504"/>
      <c r="AC311" s="2504"/>
      <c r="AD311" s="2505"/>
      <c r="AE311" s="552"/>
      <c r="AF311" s="552"/>
      <c r="AG311" s="540"/>
      <c r="AH311" s="552"/>
      <c r="AI311" s="552"/>
      <c r="AJ311" s="551"/>
      <c r="AK311" s="551"/>
      <c r="AL311" s="551"/>
      <c r="AM311" s="551"/>
      <c r="AN311" s="73"/>
      <c r="AO311" s="14"/>
      <c r="AP311" s="558" t="s">
        <v>1184</v>
      </c>
    </row>
    <row r="312" spans="1:44" hidden="1">
      <c r="F312" s="2503"/>
      <c r="G312" s="2504"/>
      <c r="H312" s="2504"/>
      <c r="I312" s="2504"/>
      <c r="J312" s="2504"/>
      <c r="K312" s="2504"/>
      <c r="L312" s="2504"/>
      <c r="M312" s="2504"/>
      <c r="N312" s="2504"/>
      <c r="O312" s="2504"/>
      <c r="P312" s="2504"/>
      <c r="Q312" s="2504"/>
      <c r="R312" s="2504"/>
      <c r="S312" s="2504"/>
      <c r="T312" s="2504"/>
      <c r="U312" s="2504"/>
      <c r="V312" s="2504"/>
      <c r="W312" s="2504"/>
      <c r="X312" s="2504"/>
      <c r="Y312" s="2504"/>
      <c r="Z312" s="2504"/>
      <c r="AA312" s="2504"/>
      <c r="AB312" s="2504"/>
      <c r="AC312" s="2504"/>
      <c r="AD312" s="2505"/>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13" t="s">
        <v>1184</v>
      </c>
      <c r="G316" s="2514"/>
      <c r="H316" s="2514"/>
      <c r="I316" s="2514"/>
      <c r="J316" s="2514"/>
      <c r="K316" s="2514"/>
      <c r="L316" s="2514"/>
      <c r="M316" s="2514"/>
      <c r="N316" s="2514"/>
      <c r="O316" s="2514"/>
      <c r="P316" s="2514"/>
      <c r="Q316" s="2514"/>
      <c r="R316" s="2514"/>
      <c r="S316" s="2514"/>
      <c r="T316" s="2514"/>
      <c r="U316" s="2514"/>
      <c r="V316" s="2514"/>
      <c r="W316" s="2514"/>
      <c r="X316" s="2514"/>
      <c r="Y316" s="2514"/>
      <c r="Z316" s="2514"/>
      <c r="AA316" s="2514"/>
      <c r="AB316" s="2514"/>
      <c r="AC316" s="2514"/>
      <c r="AD316" s="2515"/>
      <c r="AE316" s="643"/>
      <c r="AF316" s="643"/>
      <c r="AG316" s="643"/>
      <c r="AH316" s="643"/>
      <c r="AI316" s="643"/>
      <c r="AJ316" s="643"/>
      <c r="AK316" s="643"/>
      <c r="AL316" s="551"/>
      <c r="AM316" s="551"/>
      <c r="AN316" s="73"/>
      <c r="AO316" s="14"/>
      <c r="AP316" s="30"/>
    </row>
    <row r="317" spans="1:44" ht="13" hidden="1">
      <c r="A317" s="551"/>
      <c r="B317" s="552"/>
      <c r="C317" s="731"/>
      <c r="D317" s="731"/>
      <c r="E317" s="548"/>
      <c r="F317" s="2513"/>
      <c r="G317" s="2514"/>
      <c r="H317" s="2514"/>
      <c r="I317" s="2514"/>
      <c r="J317" s="2514"/>
      <c r="K317" s="2514"/>
      <c r="L317" s="2514"/>
      <c r="M317" s="2514"/>
      <c r="N317" s="2514"/>
      <c r="O317" s="2514"/>
      <c r="P317" s="2514"/>
      <c r="Q317" s="2514"/>
      <c r="R317" s="2514"/>
      <c r="S317" s="2514"/>
      <c r="T317" s="2514"/>
      <c r="U317" s="2514"/>
      <c r="V317" s="2514"/>
      <c r="W317" s="2514"/>
      <c r="X317" s="2514"/>
      <c r="Y317" s="2514"/>
      <c r="Z317" s="2514"/>
      <c r="AA317" s="2514"/>
      <c r="AB317" s="2514"/>
      <c r="AC317" s="2514"/>
      <c r="AD317" s="2515"/>
      <c r="AE317" s="552"/>
      <c r="AF317" s="552"/>
      <c r="AG317" s="540"/>
      <c r="AH317" s="552"/>
      <c r="AI317" s="552"/>
      <c r="AJ317" s="551"/>
      <c r="AK317" s="551"/>
      <c r="AL317" s="551"/>
      <c r="AM317" s="551"/>
      <c r="AN317" s="73"/>
      <c r="AO317" s="14"/>
      <c r="AP317" s="30"/>
    </row>
    <row r="318" spans="1:44" ht="13" hidden="1">
      <c r="A318" s="551"/>
      <c r="B318" s="552"/>
      <c r="C318" s="731"/>
      <c r="D318" s="731"/>
      <c r="E318" s="548"/>
      <c r="F318" s="2513"/>
      <c r="G318" s="2514"/>
      <c r="H318" s="2514"/>
      <c r="I318" s="2514"/>
      <c r="J318" s="2514"/>
      <c r="K318" s="2514"/>
      <c r="L318" s="2514"/>
      <c r="M318" s="2514"/>
      <c r="N318" s="2514"/>
      <c r="O318" s="2514"/>
      <c r="P318" s="2514"/>
      <c r="Q318" s="2514"/>
      <c r="R318" s="2514"/>
      <c r="S318" s="2514"/>
      <c r="T318" s="2514"/>
      <c r="U318" s="2514"/>
      <c r="V318" s="2514"/>
      <c r="W318" s="2514"/>
      <c r="X318" s="2514"/>
      <c r="Y318" s="2514"/>
      <c r="Z318" s="2514"/>
      <c r="AA318" s="2514"/>
      <c r="AB318" s="2514"/>
      <c r="AC318" s="2514"/>
      <c r="AD318" s="2515"/>
      <c r="AE318" s="552"/>
      <c r="AF318" s="552"/>
      <c r="AG318" s="540"/>
      <c r="AH318" s="552"/>
      <c r="AI318" s="552"/>
      <c r="AJ318" s="551"/>
      <c r="AK318" s="551"/>
      <c r="AL318" s="551"/>
      <c r="AM318" s="551"/>
      <c r="AN318" s="73"/>
      <c r="AO318" s="14"/>
      <c r="AP318" s="30"/>
    </row>
    <row r="319" spans="1:44" ht="13" hidden="1">
      <c r="A319" s="551"/>
      <c r="B319" s="552"/>
      <c r="C319" s="731"/>
      <c r="D319" s="731"/>
      <c r="E319" s="548"/>
      <c r="F319" s="2513"/>
      <c r="G319" s="2514"/>
      <c r="H319" s="2514"/>
      <c r="I319" s="2514"/>
      <c r="J319" s="2514"/>
      <c r="K319" s="2514"/>
      <c r="L319" s="2514"/>
      <c r="M319" s="2514"/>
      <c r="N319" s="2514"/>
      <c r="O319" s="2514"/>
      <c r="P319" s="2514"/>
      <c r="Q319" s="2514"/>
      <c r="R319" s="2514"/>
      <c r="S319" s="2514"/>
      <c r="T319" s="2514"/>
      <c r="U319" s="2514"/>
      <c r="V319" s="2514"/>
      <c r="W319" s="2514"/>
      <c r="X319" s="2514"/>
      <c r="Y319" s="2514"/>
      <c r="Z319" s="2514"/>
      <c r="AA319" s="2514"/>
      <c r="AB319" s="2514"/>
      <c r="AC319" s="2514"/>
      <c r="AD319" s="2515"/>
      <c r="AE319" s="552"/>
      <c r="AF319" s="552"/>
      <c r="AG319" s="540"/>
      <c r="AH319" s="552"/>
      <c r="AI319" s="552"/>
      <c r="AJ319" s="551"/>
      <c r="AK319" s="551"/>
      <c r="AL319" s="551"/>
      <c r="AM319" s="551"/>
      <c r="AN319" s="73"/>
      <c r="AO319" s="14"/>
      <c r="AP319" s="30"/>
    </row>
    <row r="320" spans="1:44" ht="13" hidden="1">
      <c r="A320" s="551"/>
      <c r="B320" s="552"/>
      <c r="C320" s="731"/>
      <c r="D320" s="731"/>
      <c r="E320" s="548"/>
      <c r="F320" s="2516"/>
      <c r="G320" s="2517"/>
      <c r="H320" s="2517"/>
      <c r="I320" s="2517"/>
      <c r="J320" s="2517"/>
      <c r="K320" s="2517"/>
      <c r="L320" s="2517"/>
      <c r="M320" s="2517"/>
      <c r="N320" s="2517"/>
      <c r="O320" s="2517"/>
      <c r="P320" s="2517"/>
      <c r="Q320" s="2517"/>
      <c r="R320" s="2517"/>
      <c r="S320" s="2517"/>
      <c r="T320" s="2517"/>
      <c r="U320" s="2517"/>
      <c r="V320" s="2517"/>
      <c r="W320" s="2517"/>
      <c r="X320" s="2517"/>
      <c r="Y320" s="2517"/>
      <c r="Z320" s="2517"/>
      <c r="AA320" s="2517"/>
      <c r="AB320" s="2517"/>
      <c r="AC320" s="2517"/>
      <c r="AD320" s="2518"/>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19" t="s">
        <v>1184</v>
      </c>
      <c r="J324" s="2519"/>
      <c r="K324" s="2519"/>
      <c r="L324" s="2519"/>
      <c r="M324" s="2519"/>
      <c r="N324" s="2519"/>
      <c r="O324" s="2519"/>
      <c r="P324" s="2519"/>
      <c r="Q324" s="2519"/>
      <c r="R324" s="2519"/>
      <c r="S324" s="2519"/>
      <c r="T324" s="2519"/>
      <c r="U324" s="2519"/>
      <c r="V324" s="2519"/>
      <c r="W324" s="2519"/>
      <c r="X324" s="2519"/>
      <c r="Y324" s="2519"/>
      <c r="Z324" s="2519"/>
      <c r="AA324" s="2519"/>
      <c r="AB324" s="2519"/>
      <c r="AC324" s="2519"/>
      <c r="AD324" s="2520"/>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19"/>
      <c r="J325" s="2519"/>
      <c r="K325" s="2519"/>
      <c r="L325" s="2519"/>
      <c r="M325" s="2519"/>
      <c r="N325" s="2519"/>
      <c r="O325" s="2519"/>
      <c r="P325" s="2519"/>
      <c r="Q325" s="2519"/>
      <c r="R325" s="2519"/>
      <c r="S325" s="2519"/>
      <c r="T325" s="2519"/>
      <c r="U325" s="2519"/>
      <c r="V325" s="2519"/>
      <c r="W325" s="2519"/>
      <c r="X325" s="2519"/>
      <c r="Y325" s="2519"/>
      <c r="Z325" s="2519"/>
      <c r="AA325" s="2519"/>
      <c r="AB325" s="2519"/>
      <c r="AC325" s="2519"/>
      <c r="AD325" s="2520"/>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19"/>
      <c r="J326" s="2519"/>
      <c r="K326" s="2519"/>
      <c r="L326" s="2519"/>
      <c r="M326" s="2519"/>
      <c r="N326" s="2519"/>
      <c r="O326" s="2519"/>
      <c r="P326" s="2519"/>
      <c r="Q326" s="2519"/>
      <c r="R326" s="2519"/>
      <c r="S326" s="2519"/>
      <c r="T326" s="2519"/>
      <c r="U326" s="2519"/>
      <c r="V326" s="2519"/>
      <c r="W326" s="2519"/>
      <c r="X326" s="2519"/>
      <c r="Y326" s="2519"/>
      <c r="Z326" s="2519"/>
      <c r="AA326" s="2519"/>
      <c r="AB326" s="2519"/>
      <c r="AC326" s="2519"/>
      <c r="AD326" s="2520"/>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21"/>
      <c r="J327" s="2521"/>
      <c r="K327" s="2521"/>
      <c r="L327" s="2521"/>
      <c r="M327" s="2521"/>
      <c r="N327" s="2521"/>
      <c r="O327" s="2521"/>
      <c r="P327" s="2521"/>
      <c r="Q327" s="2521"/>
      <c r="R327" s="2521"/>
      <c r="S327" s="2521"/>
      <c r="T327" s="2521"/>
      <c r="U327" s="2521"/>
      <c r="V327" s="2521"/>
      <c r="W327" s="2521"/>
      <c r="X327" s="2521"/>
      <c r="Y327" s="2521"/>
      <c r="Z327" s="2521"/>
      <c r="AA327" s="2521"/>
      <c r="AB327" s="2521"/>
      <c r="AC327" s="2521"/>
      <c r="AD327" s="2522"/>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519" t="s">
        <v>1184</v>
      </c>
      <c r="J329" s="2519"/>
      <c r="K329" s="2519"/>
      <c r="L329" s="2519"/>
      <c r="M329" s="2519"/>
      <c r="N329" s="2519"/>
      <c r="O329" s="2519"/>
      <c r="P329" s="2519"/>
      <c r="Q329" s="2519"/>
      <c r="R329" s="2519"/>
      <c r="S329" s="2519"/>
      <c r="T329" s="2519"/>
      <c r="U329" s="2519"/>
      <c r="V329" s="2519"/>
      <c r="W329" s="2519"/>
      <c r="X329" s="2519"/>
      <c r="Y329" s="2519"/>
      <c r="Z329" s="2519"/>
      <c r="AA329" s="2519"/>
      <c r="AB329" s="2519"/>
      <c r="AC329" s="2519"/>
      <c r="AD329" s="2520"/>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9"/>
      <c r="J330" s="2519"/>
      <c r="K330" s="2519"/>
      <c r="L330" s="2519"/>
      <c r="M330" s="2519"/>
      <c r="N330" s="2519"/>
      <c r="O330" s="2519"/>
      <c r="P330" s="2519"/>
      <c r="Q330" s="2519"/>
      <c r="R330" s="2519"/>
      <c r="S330" s="2519"/>
      <c r="T330" s="2519"/>
      <c r="U330" s="2519"/>
      <c r="V330" s="2519"/>
      <c r="W330" s="2519"/>
      <c r="X330" s="2519"/>
      <c r="Y330" s="2519"/>
      <c r="Z330" s="2519"/>
      <c r="AA330" s="2519"/>
      <c r="AB330" s="2519"/>
      <c r="AC330" s="2519"/>
      <c r="AD330" s="2520"/>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21"/>
      <c r="J331" s="2521"/>
      <c r="K331" s="2521"/>
      <c r="L331" s="2521"/>
      <c r="M331" s="2521"/>
      <c r="N331" s="2521"/>
      <c r="O331" s="2521"/>
      <c r="P331" s="2521"/>
      <c r="Q331" s="2521"/>
      <c r="R331" s="2521"/>
      <c r="S331" s="2521"/>
      <c r="T331" s="2521"/>
      <c r="U331" s="2521"/>
      <c r="V331" s="2521"/>
      <c r="W331" s="2521"/>
      <c r="X331" s="2521"/>
      <c r="Y331" s="2521"/>
      <c r="Z331" s="2521"/>
      <c r="AA331" s="2521"/>
      <c r="AB331" s="2521"/>
      <c r="AC331" s="2521"/>
      <c r="AD331" s="2522"/>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9" t="s">
        <v>1392</v>
      </c>
      <c r="B333" s="1629"/>
      <c r="C333" s="2481" t="s">
        <v>591</v>
      </c>
      <c r="D333" s="2481"/>
      <c r="E333" s="548"/>
      <c r="F333" s="2405" t="s">
        <v>2029</v>
      </c>
      <c r="G333" s="2406"/>
      <c r="H333" s="2406"/>
      <c r="I333" s="2406"/>
      <c r="J333" s="2406"/>
      <c r="K333" s="2406"/>
      <c r="L333" s="2406"/>
      <c r="M333" s="2406"/>
      <c r="N333" s="2406"/>
      <c r="O333" s="2406"/>
      <c r="P333" s="2406"/>
      <c r="Q333" s="2406"/>
      <c r="R333" s="2406"/>
      <c r="S333" s="2406"/>
      <c r="T333" s="2406"/>
      <c r="U333" s="2406"/>
      <c r="V333" s="2406"/>
      <c r="W333" s="2406"/>
      <c r="X333" s="2406"/>
      <c r="Y333" s="2406"/>
      <c r="Z333" s="2406"/>
      <c r="AA333" s="2406"/>
      <c r="AB333" s="2406"/>
      <c r="AC333" s="2406"/>
      <c r="AD333" s="2407"/>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11"/>
      <c r="G334" s="2412"/>
      <c r="H334" s="2412"/>
      <c r="I334" s="2412"/>
      <c r="J334" s="2412"/>
      <c r="K334" s="2412"/>
      <c r="L334" s="2412"/>
      <c r="M334" s="2412"/>
      <c r="N334" s="2412"/>
      <c r="O334" s="2412"/>
      <c r="P334" s="2412"/>
      <c r="Q334" s="2412"/>
      <c r="R334" s="2412"/>
      <c r="S334" s="2412"/>
      <c r="T334" s="2412"/>
      <c r="U334" s="2412"/>
      <c r="V334" s="2412"/>
      <c r="W334" s="2412"/>
      <c r="X334" s="2412"/>
      <c r="Y334" s="2412"/>
      <c r="Z334" s="2412"/>
      <c r="AA334" s="2412"/>
      <c r="AB334" s="2412"/>
      <c r="AC334" s="2412"/>
      <c r="AD334" s="2413"/>
      <c r="AE334" s="552"/>
      <c r="AF334" s="552"/>
      <c r="AG334" s="552"/>
      <c r="AH334" s="552"/>
      <c r="AI334" s="552"/>
      <c r="AJ334" s="551"/>
      <c r="AK334" s="551"/>
      <c r="AL334" s="551"/>
      <c r="AM334" s="551"/>
      <c r="AN334" s="73"/>
      <c r="AO334" s="14"/>
    </row>
    <row r="335" spans="1:42" ht="15" hidden="1" customHeight="1">
      <c r="A335" s="551"/>
      <c r="B335" s="552"/>
      <c r="C335" s="552"/>
      <c r="D335" s="552"/>
      <c r="E335" s="552"/>
      <c r="F335" s="2411"/>
      <c r="G335" s="2412"/>
      <c r="H335" s="2412"/>
      <c r="I335" s="2412"/>
      <c r="J335" s="2412"/>
      <c r="K335" s="2412"/>
      <c r="L335" s="2412"/>
      <c r="M335" s="2412"/>
      <c r="N335" s="2412"/>
      <c r="O335" s="2412"/>
      <c r="P335" s="2412"/>
      <c r="Q335" s="2412"/>
      <c r="R335" s="2412"/>
      <c r="S335" s="2412"/>
      <c r="T335" s="2412"/>
      <c r="U335" s="2412"/>
      <c r="V335" s="2412"/>
      <c r="W335" s="2412"/>
      <c r="X335" s="2412"/>
      <c r="Y335" s="2412"/>
      <c r="Z335" s="2412"/>
      <c r="AA335" s="2412"/>
      <c r="AB335" s="2412"/>
      <c r="AC335" s="2412"/>
      <c r="AD335" s="2413"/>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84">
        <f>IF(NOT(OR(Application!M355="Yes",Application!M356="Yes")),0,AP295)</f>
        <v>10</v>
      </c>
      <c r="AL338" s="2485"/>
      <c r="AM338" s="2486"/>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14" t="s">
        <v>1314</v>
      </c>
      <c r="AF341" s="2414"/>
      <c r="AG341" s="2414"/>
      <c r="AH341" s="2414"/>
      <c r="AI341" s="2414"/>
      <c r="AJ341" s="2414"/>
      <c r="AK341" s="241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23" t="s">
        <v>1454</v>
      </c>
      <c r="D343" s="2523"/>
      <c r="E343" s="2523"/>
      <c r="F343" s="2523"/>
      <c r="G343" s="2523"/>
      <c r="H343" s="2523"/>
      <c r="I343" s="2523"/>
      <c r="J343" s="2523"/>
      <c r="K343" s="2523"/>
      <c r="L343" s="2523"/>
      <c r="M343" s="2523"/>
      <c r="N343" s="2523"/>
      <c r="O343" s="2523"/>
      <c r="P343" s="2523"/>
      <c r="Q343" s="2523"/>
      <c r="R343" s="2523"/>
      <c r="S343" s="2523"/>
      <c r="T343" s="2523"/>
      <c r="U343" s="2523"/>
      <c r="V343" s="2523"/>
      <c r="W343" s="2523"/>
      <c r="X343" s="2523"/>
      <c r="Y343" s="2523"/>
      <c r="Z343" s="2523"/>
      <c r="AA343" s="2523"/>
      <c r="AB343" s="2523"/>
      <c r="AC343" s="2523"/>
      <c r="AD343" s="2523"/>
      <c r="AE343" s="2523"/>
      <c r="AF343" s="2523"/>
      <c r="AG343" s="2523"/>
      <c r="AH343" s="2523"/>
      <c r="AI343" s="2523"/>
      <c r="AJ343" s="2523"/>
      <c r="AK343" s="604"/>
      <c r="AL343" s="604"/>
      <c r="AM343" s="604"/>
      <c r="AN343" s="598"/>
    </row>
    <row r="344" spans="1:44" s="551" customFormat="1" ht="12.75" customHeight="1">
      <c r="A344" s="604"/>
      <c r="B344" s="612"/>
      <c r="C344" s="2523"/>
      <c r="D344" s="2523"/>
      <c r="E344" s="2523"/>
      <c r="F344" s="2523"/>
      <c r="G344" s="2523"/>
      <c r="H344" s="2523"/>
      <c r="I344" s="2523"/>
      <c r="J344" s="2523"/>
      <c r="K344" s="2523"/>
      <c r="L344" s="2523"/>
      <c r="M344" s="2523"/>
      <c r="N344" s="2523"/>
      <c r="O344" s="2523"/>
      <c r="P344" s="2523"/>
      <c r="Q344" s="2523"/>
      <c r="R344" s="2523"/>
      <c r="S344" s="2523"/>
      <c r="T344" s="2523"/>
      <c r="U344" s="2523"/>
      <c r="V344" s="2523"/>
      <c r="W344" s="2523"/>
      <c r="X344" s="2523"/>
      <c r="Y344" s="2523"/>
      <c r="Z344" s="2523"/>
      <c r="AA344" s="2523"/>
      <c r="AB344" s="2523"/>
      <c r="AC344" s="2523"/>
      <c r="AD344" s="2523"/>
      <c r="AE344" s="2523"/>
      <c r="AF344" s="2523"/>
      <c r="AG344" s="2523"/>
      <c r="AH344" s="2523"/>
      <c r="AI344" s="2523"/>
      <c r="AJ344" s="2523"/>
      <c r="AK344" s="604"/>
      <c r="AL344" s="604"/>
      <c r="AM344" s="604"/>
      <c r="AN344" s="598"/>
    </row>
    <row r="345" spans="1:44" s="551" customFormat="1" ht="12.75" customHeight="1">
      <c r="A345" s="604"/>
      <c r="B345" s="612"/>
      <c r="C345" s="2523"/>
      <c r="D345" s="2523"/>
      <c r="E345" s="2523"/>
      <c r="F345" s="2523"/>
      <c r="G345" s="2523"/>
      <c r="H345" s="2523"/>
      <c r="I345" s="2523"/>
      <c r="J345" s="2523"/>
      <c r="K345" s="2523"/>
      <c r="L345" s="2523"/>
      <c r="M345" s="2523"/>
      <c r="N345" s="2523"/>
      <c r="O345" s="2523"/>
      <c r="P345" s="2523"/>
      <c r="Q345" s="2523"/>
      <c r="R345" s="2523"/>
      <c r="S345" s="2523"/>
      <c r="T345" s="2523"/>
      <c r="U345" s="2523"/>
      <c r="V345" s="2523"/>
      <c r="W345" s="2523"/>
      <c r="X345" s="2523"/>
      <c r="Y345" s="2523"/>
      <c r="Z345" s="2523"/>
      <c r="AA345" s="2523"/>
      <c r="AB345" s="2523"/>
      <c r="AC345" s="2523"/>
      <c r="AD345" s="2523"/>
      <c r="AE345" s="2523"/>
      <c r="AF345" s="2523"/>
      <c r="AG345" s="2523"/>
      <c r="AH345" s="2523"/>
      <c r="AI345" s="2523"/>
      <c r="AJ345" s="2523"/>
      <c r="AK345" s="604"/>
      <c r="AL345" s="604"/>
      <c r="AM345" s="604"/>
      <c r="AN345" s="598"/>
      <c r="AQ345" s="571"/>
    </row>
    <row r="346" spans="1:44" s="551" customFormat="1" ht="12.75" customHeight="1">
      <c r="A346" s="604"/>
      <c r="B346" s="612"/>
      <c r="C346" s="2523"/>
      <c r="D346" s="2523"/>
      <c r="E346" s="2523"/>
      <c r="F346" s="2523"/>
      <c r="G346" s="2523"/>
      <c r="H346" s="2523"/>
      <c r="I346" s="2523"/>
      <c r="J346" s="2523"/>
      <c r="K346" s="2523"/>
      <c r="L346" s="2523"/>
      <c r="M346" s="2523"/>
      <c r="N346" s="2523"/>
      <c r="O346" s="2523"/>
      <c r="P346" s="2523"/>
      <c r="Q346" s="2523"/>
      <c r="R346" s="2523"/>
      <c r="S346" s="2523"/>
      <c r="T346" s="2523"/>
      <c r="U346" s="2523"/>
      <c r="V346" s="2523"/>
      <c r="W346" s="2523"/>
      <c r="X346" s="2523"/>
      <c r="Y346" s="2523"/>
      <c r="Z346" s="2523"/>
      <c r="AA346" s="2523"/>
      <c r="AB346" s="2523"/>
      <c r="AC346" s="2523"/>
      <c r="AD346" s="2523"/>
      <c r="AE346" s="2523"/>
      <c r="AF346" s="2523"/>
      <c r="AG346" s="2523"/>
      <c r="AH346" s="2523"/>
      <c r="AI346" s="2523"/>
      <c r="AJ346" s="2523"/>
      <c r="AK346" s="604"/>
      <c r="AL346" s="604"/>
      <c r="AM346" s="604"/>
      <c r="AN346" s="598"/>
      <c r="AQ346" s="571"/>
    </row>
    <row r="347" spans="1:44" s="551" customFormat="1" ht="12.4" customHeight="1">
      <c r="A347" s="604"/>
      <c r="B347" s="612"/>
      <c r="C347" s="2523"/>
      <c r="D347" s="2523"/>
      <c r="E347" s="2523"/>
      <c r="F347" s="2523"/>
      <c r="G347" s="2523"/>
      <c r="H347" s="2523"/>
      <c r="I347" s="2523"/>
      <c r="J347" s="2523"/>
      <c r="K347" s="2523"/>
      <c r="L347" s="2523"/>
      <c r="M347" s="2523"/>
      <c r="N347" s="2523"/>
      <c r="O347" s="2523"/>
      <c r="P347" s="2523"/>
      <c r="Q347" s="2523"/>
      <c r="R347" s="2523"/>
      <c r="S347" s="2523"/>
      <c r="T347" s="2523"/>
      <c r="U347" s="2523"/>
      <c r="V347" s="2523"/>
      <c r="W347" s="2523"/>
      <c r="X347" s="2523"/>
      <c r="Y347" s="2523"/>
      <c r="Z347" s="2523"/>
      <c r="AA347" s="2523"/>
      <c r="AB347" s="2523"/>
      <c r="AC347" s="2523"/>
      <c r="AD347" s="2523"/>
      <c r="AE347" s="2523"/>
      <c r="AF347" s="2523"/>
      <c r="AG347" s="2523"/>
      <c r="AH347" s="2523"/>
      <c r="AI347" s="2523"/>
      <c r="AJ347" s="2523"/>
      <c r="AK347" s="604"/>
      <c r="AL347" s="604"/>
      <c r="AM347" s="604"/>
      <c r="AN347" s="598"/>
      <c r="AQ347" s="571"/>
      <c r="AR347" s="571"/>
    </row>
    <row r="348" spans="1:44" s="551" customFormat="1" ht="45.75" customHeight="1">
      <c r="A348" s="604"/>
      <c r="B348" s="612"/>
      <c r="C348" s="2523" t="s">
        <v>2094</v>
      </c>
      <c r="D348" s="2523"/>
      <c r="E348" s="2523"/>
      <c r="F348" s="2523"/>
      <c r="G348" s="2523"/>
      <c r="H348" s="2523"/>
      <c r="I348" s="2523"/>
      <c r="J348" s="2523"/>
      <c r="K348" s="2523"/>
      <c r="L348" s="2523"/>
      <c r="M348" s="2523"/>
      <c r="N348" s="2523"/>
      <c r="O348" s="2523"/>
      <c r="P348" s="2523"/>
      <c r="Q348" s="2523"/>
      <c r="R348" s="2523"/>
      <c r="S348" s="2523"/>
      <c r="T348" s="2523"/>
      <c r="U348" s="2523"/>
      <c r="V348" s="2523"/>
      <c r="W348" s="2523"/>
      <c r="X348" s="2523"/>
      <c r="Y348" s="2523"/>
      <c r="Z348" s="2523"/>
      <c r="AA348" s="2523"/>
      <c r="AB348" s="2523"/>
      <c r="AC348" s="2523"/>
      <c r="AD348" s="2523"/>
      <c r="AE348" s="2523"/>
      <c r="AF348" s="2523"/>
      <c r="AG348" s="2523"/>
      <c r="AH348" s="2523"/>
      <c r="AI348" s="2523"/>
      <c r="AJ348" s="2523"/>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23" t="s">
        <v>2209</v>
      </c>
      <c r="D350" s="2523"/>
      <c r="E350" s="2523"/>
      <c r="F350" s="2523"/>
      <c r="G350" s="2523"/>
      <c r="H350" s="2523"/>
      <c r="I350" s="2523"/>
      <c r="J350" s="2523"/>
      <c r="K350" s="2523"/>
      <c r="L350" s="2523"/>
      <c r="M350" s="2523"/>
      <c r="N350" s="2523"/>
      <c r="O350" s="2523"/>
      <c r="P350" s="2523"/>
      <c r="Q350" s="2523"/>
      <c r="R350" s="2523"/>
      <c r="S350" s="2523"/>
      <c r="T350" s="2523"/>
      <c r="U350" s="2523"/>
      <c r="V350" s="2523"/>
      <c r="W350" s="2523"/>
      <c r="X350" s="2523"/>
      <c r="Y350" s="2523"/>
      <c r="Z350" s="2523"/>
      <c r="AA350" s="2523"/>
      <c r="AB350" s="2523"/>
      <c r="AC350" s="2523"/>
      <c r="AD350" s="2523"/>
      <c r="AE350" s="2523"/>
      <c r="AF350" s="2523"/>
      <c r="AG350" s="2523"/>
      <c r="AH350" s="2523"/>
      <c r="AI350" s="2523"/>
      <c r="AJ350" s="2523"/>
      <c r="AK350" s="604"/>
      <c r="AL350" s="604"/>
      <c r="AM350" s="604"/>
      <c r="AN350" s="598"/>
      <c r="AQ350" s="571"/>
      <c r="AR350" s="571"/>
    </row>
    <row r="351" spans="1:44" s="551" customFormat="1" ht="30" customHeight="1">
      <c r="A351" s="604"/>
      <c r="B351" s="612"/>
      <c r="C351" s="2523"/>
      <c r="D351" s="2523"/>
      <c r="E351" s="2523"/>
      <c r="F351" s="2523"/>
      <c r="G351" s="2523"/>
      <c r="H351" s="2523"/>
      <c r="I351" s="2523"/>
      <c r="J351" s="2523"/>
      <c r="K351" s="2523"/>
      <c r="L351" s="2523"/>
      <c r="M351" s="2523"/>
      <c r="N351" s="2523"/>
      <c r="O351" s="2523"/>
      <c r="P351" s="2523"/>
      <c r="Q351" s="2523"/>
      <c r="R351" s="2523"/>
      <c r="S351" s="2523"/>
      <c r="T351" s="2523"/>
      <c r="U351" s="2523"/>
      <c r="V351" s="2523"/>
      <c r="W351" s="2523"/>
      <c r="X351" s="2523"/>
      <c r="Y351" s="2523"/>
      <c r="Z351" s="2523"/>
      <c r="AA351" s="2523"/>
      <c r="AB351" s="2523"/>
      <c r="AC351" s="2523"/>
      <c r="AD351" s="2523"/>
      <c r="AE351" s="2523"/>
      <c r="AF351" s="2523"/>
      <c r="AG351" s="2523"/>
      <c r="AH351" s="2523"/>
      <c r="AI351" s="2523"/>
      <c r="AJ351" s="2523"/>
      <c r="AK351" s="604"/>
      <c r="AL351" s="604"/>
      <c r="AM351" s="604"/>
      <c r="AN351" s="598"/>
      <c r="AR351" s="571"/>
    </row>
    <row r="352" spans="1:44" s="551" customFormat="1" ht="12.75" customHeight="1">
      <c r="A352" s="604"/>
      <c r="B352" s="612"/>
      <c r="C352" s="2523"/>
      <c r="D352" s="2523"/>
      <c r="E352" s="2523"/>
      <c r="F352" s="2523"/>
      <c r="G352" s="2523"/>
      <c r="H352" s="2523"/>
      <c r="I352" s="2523"/>
      <c r="J352" s="2523"/>
      <c r="K352" s="2523"/>
      <c r="L352" s="2523"/>
      <c r="M352" s="2523"/>
      <c r="N352" s="2523"/>
      <c r="O352" s="2523"/>
      <c r="P352" s="2523"/>
      <c r="Q352" s="2523"/>
      <c r="R352" s="2523"/>
      <c r="S352" s="2523"/>
      <c r="T352" s="2523"/>
      <c r="U352" s="2523"/>
      <c r="V352" s="2523"/>
      <c r="W352" s="2523"/>
      <c r="X352" s="2523"/>
      <c r="Y352" s="2523"/>
      <c r="Z352" s="2523"/>
      <c r="AA352" s="2523"/>
      <c r="AB352" s="2523"/>
      <c r="AC352" s="2523"/>
      <c r="AD352" s="2523"/>
      <c r="AE352" s="2523"/>
      <c r="AF352" s="2523"/>
      <c r="AG352" s="2523"/>
      <c r="AH352" s="2523"/>
      <c r="AI352" s="2523"/>
      <c r="AJ352" s="2523"/>
      <c r="AK352" s="604"/>
      <c r="AL352" s="604"/>
      <c r="AM352" s="604"/>
      <c r="AN352" s="598"/>
      <c r="AR352" s="571"/>
    </row>
    <row r="353" spans="1:46" s="551" customFormat="1" ht="12.75" customHeight="1">
      <c r="A353" s="604"/>
      <c r="B353" s="612"/>
      <c r="C353" s="2523" t="s">
        <v>1455</v>
      </c>
      <c r="D353" s="2523"/>
      <c r="E353" s="2523"/>
      <c r="F353" s="2523"/>
      <c r="G353" s="2523"/>
      <c r="H353" s="2523"/>
      <c r="I353" s="2523"/>
      <c r="J353" s="2523"/>
      <c r="K353" s="2523"/>
      <c r="L353" s="2523"/>
      <c r="M353" s="2523"/>
      <c r="N353" s="2523"/>
      <c r="O353" s="2523"/>
      <c r="P353" s="2523"/>
      <c r="Q353" s="2523"/>
      <c r="R353" s="2523"/>
      <c r="S353" s="2523"/>
      <c r="T353" s="2523"/>
      <c r="U353" s="2523"/>
      <c r="V353" s="2523"/>
      <c r="W353" s="2523"/>
      <c r="X353" s="2523"/>
      <c r="Y353" s="2523"/>
      <c r="Z353" s="2523"/>
      <c r="AA353" s="2523"/>
      <c r="AB353" s="2523"/>
      <c r="AC353" s="2523"/>
      <c r="AD353" s="2523"/>
      <c r="AE353" s="2523"/>
      <c r="AF353" s="2523"/>
      <c r="AG353" s="2523"/>
      <c r="AH353" s="2523"/>
      <c r="AI353" s="2523"/>
      <c r="AJ353" s="2523"/>
      <c r="AK353" s="604"/>
      <c r="AL353" s="604"/>
      <c r="AM353" s="604"/>
      <c r="AN353" s="598"/>
      <c r="AQ353" s="571"/>
      <c r="AR353" s="571"/>
    </row>
    <row r="354" spans="1:46" s="551" customFormat="1" ht="12.75" customHeight="1">
      <c r="A354" s="604"/>
      <c r="B354" s="612"/>
      <c r="C354" s="2523"/>
      <c r="D354" s="2523"/>
      <c r="E354" s="2523"/>
      <c r="F354" s="2523"/>
      <c r="G354" s="2523"/>
      <c r="H354" s="2523"/>
      <c r="I354" s="2523"/>
      <c r="J354" s="2523"/>
      <c r="K354" s="2523"/>
      <c r="L354" s="2523"/>
      <c r="M354" s="2523"/>
      <c r="N354" s="2523"/>
      <c r="O354" s="2523"/>
      <c r="P354" s="2523"/>
      <c r="Q354" s="2523"/>
      <c r="R354" s="2523"/>
      <c r="S354" s="2523"/>
      <c r="T354" s="2523"/>
      <c r="U354" s="2523"/>
      <c r="V354" s="2523"/>
      <c r="W354" s="2523"/>
      <c r="X354" s="2523"/>
      <c r="Y354" s="2523"/>
      <c r="Z354" s="2523"/>
      <c r="AA354" s="2523"/>
      <c r="AB354" s="2523"/>
      <c r="AC354" s="2523"/>
      <c r="AD354" s="2523"/>
      <c r="AE354" s="2523"/>
      <c r="AF354" s="2523"/>
      <c r="AG354" s="2523"/>
      <c r="AH354" s="2523"/>
      <c r="AI354" s="2523"/>
      <c r="AJ354" s="2523"/>
      <c r="AK354" s="604"/>
      <c r="AL354" s="604"/>
      <c r="AM354" s="604"/>
      <c r="AN354" s="598"/>
      <c r="AQ354" s="571"/>
      <c r="AR354" s="571"/>
    </row>
    <row r="355" spans="1:46" s="551" customFormat="1" ht="13.15" customHeight="1">
      <c r="A355" s="604"/>
      <c r="B355" s="612"/>
      <c r="C355" s="2523"/>
      <c r="D355" s="2523"/>
      <c r="E355" s="2523"/>
      <c r="F355" s="2523"/>
      <c r="G355" s="2523"/>
      <c r="H355" s="2523"/>
      <c r="I355" s="2523"/>
      <c r="J355" s="2523"/>
      <c r="K355" s="2523"/>
      <c r="L355" s="2523"/>
      <c r="M355" s="2523"/>
      <c r="N355" s="2523"/>
      <c r="O355" s="2523"/>
      <c r="P355" s="2523"/>
      <c r="Q355" s="2523"/>
      <c r="R355" s="2523"/>
      <c r="S355" s="2523"/>
      <c r="T355" s="2523"/>
      <c r="U355" s="2523"/>
      <c r="V355" s="2523"/>
      <c r="W355" s="2523"/>
      <c r="X355" s="2523"/>
      <c r="Y355" s="2523"/>
      <c r="Z355" s="2523"/>
      <c r="AA355" s="2523"/>
      <c r="AB355" s="2523"/>
      <c r="AC355" s="2523"/>
      <c r="AD355" s="2523"/>
      <c r="AE355" s="2523"/>
      <c r="AF355" s="2523"/>
      <c r="AG355" s="2523"/>
      <c r="AH355" s="2523"/>
      <c r="AI355" s="2523"/>
      <c r="AJ355" s="2523"/>
      <c r="AK355" s="604"/>
      <c r="AL355" s="604"/>
      <c r="AM355" s="604"/>
      <c r="AN355" s="598"/>
      <c r="AQ355" s="571"/>
      <c r="AR355" s="571"/>
    </row>
    <row r="356" spans="1:46" s="551" customFormat="1" ht="12.75" customHeight="1">
      <c r="A356" s="604"/>
      <c r="B356" s="612"/>
      <c r="C356" s="2523"/>
      <c r="D356" s="2523"/>
      <c r="E356" s="2523"/>
      <c r="F356" s="2523"/>
      <c r="G356" s="2523"/>
      <c r="H356" s="2523"/>
      <c r="I356" s="2523"/>
      <c r="J356" s="2523"/>
      <c r="K356" s="2523"/>
      <c r="L356" s="2523"/>
      <c r="M356" s="2523"/>
      <c r="N356" s="2523"/>
      <c r="O356" s="2523"/>
      <c r="P356" s="2523"/>
      <c r="Q356" s="2523"/>
      <c r="R356" s="2523"/>
      <c r="S356" s="2523"/>
      <c r="T356" s="2523"/>
      <c r="U356" s="2523"/>
      <c r="V356" s="2523"/>
      <c r="W356" s="2523"/>
      <c r="X356" s="2523"/>
      <c r="Y356" s="2523"/>
      <c r="Z356" s="2523"/>
      <c r="AA356" s="2523"/>
      <c r="AB356" s="2523"/>
      <c r="AC356" s="2523"/>
      <c r="AD356" s="2523"/>
      <c r="AE356" s="2523"/>
      <c r="AF356" s="2523"/>
      <c r="AG356" s="2523"/>
      <c r="AH356" s="2523"/>
      <c r="AI356" s="2523"/>
      <c r="AJ356" s="2523"/>
      <c r="AK356" s="604"/>
      <c r="AL356" s="604"/>
      <c r="AM356" s="604"/>
      <c r="AN356" s="598"/>
      <c r="AO356" s="695"/>
      <c r="AP356" s="695"/>
      <c r="AQ356" s="571"/>
    </row>
    <row r="357" spans="1:46" s="551" customFormat="1" ht="11.9" customHeight="1">
      <c r="A357" s="604"/>
      <c r="B357" s="612"/>
      <c r="C357" s="2523"/>
      <c r="D357" s="2523"/>
      <c r="E357" s="2523"/>
      <c r="F357" s="2523"/>
      <c r="G357" s="2523"/>
      <c r="H357" s="2523"/>
      <c r="I357" s="2523"/>
      <c r="J357" s="2523"/>
      <c r="K357" s="2523"/>
      <c r="L357" s="2523"/>
      <c r="M357" s="2523"/>
      <c r="N357" s="2523"/>
      <c r="O357" s="2523"/>
      <c r="P357" s="2523"/>
      <c r="Q357" s="2523"/>
      <c r="R357" s="2523"/>
      <c r="S357" s="2523"/>
      <c r="T357" s="2523"/>
      <c r="U357" s="2523"/>
      <c r="V357" s="2523"/>
      <c r="W357" s="2523"/>
      <c r="X357" s="2523"/>
      <c r="Y357" s="2523"/>
      <c r="Z357" s="2523"/>
      <c r="AA357" s="2523"/>
      <c r="AB357" s="2523"/>
      <c r="AC357" s="2523"/>
      <c r="AD357" s="2523"/>
      <c r="AE357" s="2523"/>
      <c r="AF357" s="2523"/>
      <c r="AG357" s="2523"/>
      <c r="AH357" s="2523"/>
      <c r="AI357" s="2523"/>
      <c r="AJ357" s="2523"/>
      <c r="AK357" s="604"/>
      <c r="AL357" s="604"/>
      <c r="AM357" s="604"/>
      <c r="AN357" s="598"/>
      <c r="AO357" s="696" t="s">
        <v>112</v>
      </c>
      <c r="AP357" s="697">
        <f>IF(C381="Yes",5,0)</f>
        <v>0</v>
      </c>
      <c r="AS357" s="540" t="s">
        <v>1456</v>
      </c>
    </row>
    <row r="358" spans="1:46" s="551" customFormat="1" ht="12.75" customHeight="1">
      <c r="A358" s="604"/>
      <c r="B358" s="612"/>
      <c r="C358" s="2523"/>
      <c r="D358" s="2523"/>
      <c r="E358" s="2523"/>
      <c r="F358" s="2523"/>
      <c r="G358" s="2523"/>
      <c r="H358" s="2523"/>
      <c r="I358" s="2523"/>
      <c r="J358" s="2523"/>
      <c r="K358" s="2523"/>
      <c r="L358" s="2523"/>
      <c r="M358" s="2523"/>
      <c r="N358" s="2523"/>
      <c r="O358" s="2523"/>
      <c r="P358" s="2523"/>
      <c r="Q358" s="2523"/>
      <c r="R358" s="2523"/>
      <c r="S358" s="2523"/>
      <c r="T358" s="2523"/>
      <c r="U358" s="2523"/>
      <c r="V358" s="2523"/>
      <c r="W358" s="2523"/>
      <c r="X358" s="2523"/>
      <c r="Y358" s="2523"/>
      <c r="Z358" s="2523"/>
      <c r="AA358" s="2523"/>
      <c r="AB358" s="2523"/>
      <c r="AC358" s="2523"/>
      <c r="AD358" s="2523"/>
      <c r="AE358" s="2523"/>
      <c r="AF358" s="2523"/>
      <c r="AG358" s="2523"/>
      <c r="AH358" s="2523"/>
      <c r="AI358" s="2523"/>
      <c r="AJ358" s="2523"/>
      <c r="AK358" s="604"/>
      <c r="AL358" s="604"/>
      <c r="AM358" s="604"/>
      <c r="AN358" s="598"/>
      <c r="AO358" s="696" t="s">
        <v>113</v>
      </c>
      <c r="AP358" s="697">
        <f>IF(C389="Yes",5,0)</f>
        <v>0</v>
      </c>
      <c r="AS358" s="2544">
        <f>IF(Application!D211="Non-Targeted",(SUM(AQ366+AQ375)),AS362)</f>
        <v>10</v>
      </c>
      <c r="AT358" s="2544"/>
    </row>
    <row r="359" spans="1:46" s="551" customFormat="1" ht="12.75" customHeight="1">
      <c r="A359" s="604"/>
      <c r="B359" s="612"/>
      <c r="C359" s="2523"/>
      <c r="D359" s="2523"/>
      <c r="E359" s="2523"/>
      <c r="F359" s="2523"/>
      <c r="G359" s="2523"/>
      <c r="H359" s="2523"/>
      <c r="I359" s="2523"/>
      <c r="J359" s="2523"/>
      <c r="K359" s="2523"/>
      <c r="L359" s="2523"/>
      <c r="M359" s="2523"/>
      <c r="N359" s="2523"/>
      <c r="O359" s="2523"/>
      <c r="P359" s="2523"/>
      <c r="Q359" s="2523"/>
      <c r="R359" s="2523"/>
      <c r="S359" s="2523"/>
      <c r="T359" s="2523"/>
      <c r="U359" s="2523"/>
      <c r="V359" s="2523"/>
      <c r="W359" s="2523"/>
      <c r="X359" s="2523"/>
      <c r="Y359" s="2523"/>
      <c r="Z359" s="2523"/>
      <c r="AA359" s="2523"/>
      <c r="AB359" s="2523"/>
      <c r="AC359" s="2523"/>
      <c r="AD359" s="2523"/>
      <c r="AE359" s="2523"/>
      <c r="AF359" s="2523"/>
      <c r="AG359" s="2523"/>
      <c r="AH359" s="2523"/>
      <c r="AI359" s="2523"/>
      <c r="AJ359" s="2523"/>
      <c r="AK359" s="604"/>
      <c r="AL359" s="604"/>
      <c r="AM359" s="604"/>
      <c r="AN359" s="598"/>
      <c r="AO359" s="696" t="s">
        <v>119</v>
      </c>
      <c r="AP359" s="697">
        <f>IF(C397="Yes",7,0)</f>
        <v>7</v>
      </c>
      <c r="AS359" s="540" t="s">
        <v>1457</v>
      </c>
    </row>
    <row r="360" spans="1:46" s="551" customFormat="1" ht="12.75" customHeight="1">
      <c r="A360" s="604"/>
      <c r="B360" s="612"/>
      <c r="C360" s="2523"/>
      <c r="D360" s="2523"/>
      <c r="E360" s="2523"/>
      <c r="F360" s="2523"/>
      <c r="G360" s="2523"/>
      <c r="H360" s="2523"/>
      <c r="I360" s="2523"/>
      <c r="J360" s="2523"/>
      <c r="K360" s="2523"/>
      <c r="L360" s="2523"/>
      <c r="M360" s="2523"/>
      <c r="N360" s="2523"/>
      <c r="O360" s="2523"/>
      <c r="P360" s="2523"/>
      <c r="Q360" s="2523"/>
      <c r="R360" s="2523"/>
      <c r="S360" s="2523"/>
      <c r="T360" s="2523"/>
      <c r="U360" s="2523"/>
      <c r="V360" s="2523"/>
      <c r="W360" s="2523"/>
      <c r="X360" s="2523"/>
      <c r="Y360" s="2523"/>
      <c r="Z360" s="2523"/>
      <c r="AA360" s="2523"/>
      <c r="AB360" s="2523"/>
      <c r="AC360" s="2523"/>
      <c r="AD360" s="2523"/>
      <c r="AE360" s="2523"/>
      <c r="AF360" s="2523"/>
      <c r="AG360" s="2523"/>
      <c r="AH360" s="2523"/>
      <c r="AI360" s="2523"/>
      <c r="AJ360" s="2523"/>
      <c r="AK360" s="604"/>
      <c r="AL360" s="604"/>
      <c r="AM360" s="604"/>
      <c r="AN360" s="598"/>
      <c r="AO360" s="598"/>
      <c r="AP360" s="697">
        <f>IF(C399="Yes",5,0)</f>
        <v>0</v>
      </c>
      <c r="AS360" s="2544">
        <f>IF(AND(AQ366&gt;0,AQ375&gt;0),(AQ366+AQ375)/2,0)</f>
        <v>0</v>
      </c>
      <c r="AT360" s="2544"/>
    </row>
    <row r="361" spans="1:46" s="551" customFormat="1" ht="12.75" customHeight="1">
      <c r="A361" s="604"/>
      <c r="B361" s="612"/>
      <c r="C361" s="2523"/>
      <c r="D361" s="2523"/>
      <c r="E361" s="2523"/>
      <c r="F361" s="2523"/>
      <c r="G361" s="2523"/>
      <c r="H361" s="2523"/>
      <c r="I361" s="2523"/>
      <c r="J361" s="2523"/>
      <c r="K361" s="2523"/>
      <c r="L361" s="2523"/>
      <c r="M361" s="2523"/>
      <c r="N361" s="2523"/>
      <c r="O361" s="2523"/>
      <c r="P361" s="2523"/>
      <c r="Q361" s="2523"/>
      <c r="R361" s="2523"/>
      <c r="S361" s="2523"/>
      <c r="T361" s="2523"/>
      <c r="U361" s="2523"/>
      <c r="V361" s="2523"/>
      <c r="W361" s="2523"/>
      <c r="X361" s="2523"/>
      <c r="Y361" s="2523"/>
      <c r="Z361" s="2523"/>
      <c r="AA361" s="2523"/>
      <c r="AB361" s="2523"/>
      <c r="AC361" s="2523"/>
      <c r="AD361" s="2523"/>
      <c r="AE361" s="2523"/>
      <c r="AF361" s="2523"/>
      <c r="AG361" s="2523"/>
      <c r="AH361" s="2523"/>
      <c r="AI361" s="2523"/>
      <c r="AJ361" s="2523"/>
      <c r="AK361" s="604"/>
      <c r="AL361" s="604"/>
      <c r="AM361" s="604"/>
      <c r="AN361" s="598"/>
      <c r="AO361" s="696" t="s">
        <v>581</v>
      </c>
      <c r="AP361" s="697">
        <f>IF(C407="Yes",5,0)</f>
        <v>0</v>
      </c>
      <c r="AS361" s="540" t="s">
        <v>1879</v>
      </c>
    </row>
    <row r="362" spans="1:46" s="551" customFormat="1" ht="12.75" customHeight="1">
      <c r="A362" s="604"/>
      <c r="B362" s="612"/>
      <c r="C362" s="2545" t="s">
        <v>2235</v>
      </c>
      <c r="D362" s="2545"/>
      <c r="E362" s="2545"/>
      <c r="F362" s="2545"/>
      <c r="G362" s="2545"/>
      <c r="H362" s="2545"/>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45"/>
      <c r="AD362" s="2545"/>
      <c r="AE362" s="2545"/>
      <c r="AF362" s="2545"/>
      <c r="AG362" s="2545"/>
      <c r="AH362" s="2545"/>
      <c r="AI362" s="2545"/>
      <c r="AJ362" s="2545"/>
      <c r="AK362" s="604"/>
      <c r="AL362" s="604"/>
      <c r="AM362" s="604"/>
      <c r="AN362" s="598"/>
      <c r="AO362" s="598"/>
      <c r="AP362" s="697">
        <f>IF(C409="Yes",3,0)</f>
        <v>3</v>
      </c>
      <c r="AS362" s="2544">
        <f>IF(AQ366=0,AQ375,AQ366)</f>
        <v>10</v>
      </c>
      <c r="AT362" s="2544"/>
    </row>
    <row r="363" spans="1:46" s="551" customFormat="1" ht="12.75" customHeight="1">
      <c r="A363" s="604"/>
      <c r="B363" s="612"/>
      <c r="C363" s="2545"/>
      <c r="D363" s="2545"/>
      <c r="E363" s="2545"/>
      <c r="F363" s="2545"/>
      <c r="G363" s="2545"/>
      <c r="H363" s="2545"/>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45"/>
      <c r="AD363" s="2545"/>
      <c r="AE363" s="2545"/>
      <c r="AF363" s="2545"/>
      <c r="AG363" s="2545"/>
      <c r="AH363" s="2545"/>
      <c r="AI363" s="2545"/>
      <c r="AJ363" s="2545"/>
      <c r="AK363" s="604"/>
      <c r="AL363" s="604"/>
      <c r="AM363" s="604"/>
      <c r="AN363" s="598"/>
      <c r="AO363" s="696" t="s">
        <v>763</v>
      </c>
      <c r="AP363" s="697">
        <f>IF(C412="Yes",5,0)</f>
        <v>0</v>
      </c>
    </row>
    <row r="364" spans="1:46" s="551" customFormat="1" ht="12.75" customHeight="1">
      <c r="A364" s="604"/>
      <c r="B364" s="612"/>
      <c r="C364" s="2545"/>
      <c r="D364" s="2545"/>
      <c r="E364" s="2545"/>
      <c r="F364" s="2545"/>
      <c r="G364" s="2545"/>
      <c r="H364" s="2545"/>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45"/>
      <c r="AD364" s="2545"/>
      <c r="AE364" s="2545"/>
      <c r="AF364" s="2545"/>
      <c r="AG364" s="2545"/>
      <c r="AH364" s="2545"/>
      <c r="AI364" s="2545"/>
      <c r="AJ364" s="2545"/>
      <c r="AK364" s="604"/>
      <c r="AL364" s="604"/>
      <c r="AM364" s="604"/>
      <c r="AN364" s="598"/>
      <c r="AO364" s="696" t="s">
        <v>584</v>
      </c>
      <c r="AP364" s="697">
        <f>IF(C421="Yes",5,0)</f>
        <v>0</v>
      </c>
    </row>
    <row r="365" spans="1:46" s="551" customFormat="1" ht="11.9" customHeight="1">
      <c r="A365" s="604"/>
      <c r="B365" s="612"/>
      <c r="C365" s="2545"/>
      <c r="D365" s="2545"/>
      <c r="E365" s="2545"/>
      <c r="F365" s="2545"/>
      <c r="G365" s="2545"/>
      <c r="H365" s="2545"/>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45"/>
      <c r="AD365" s="2545"/>
      <c r="AE365" s="2545"/>
      <c r="AF365" s="2545"/>
      <c r="AG365" s="2545"/>
      <c r="AH365" s="2545"/>
      <c r="AI365" s="2545"/>
      <c r="AJ365" s="2545"/>
      <c r="AK365" s="604"/>
      <c r="AL365" s="604"/>
      <c r="AM365" s="604"/>
      <c r="AN365" s="598"/>
      <c r="AO365" s="698"/>
      <c r="AP365" s="699">
        <f>IF(C423="Yes",3,0)</f>
        <v>0</v>
      </c>
    </row>
    <row r="366" spans="1:46" s="551" customFormat="1" ht="12.4" customHeight="1">
      <c r="A366" s="604"/>
      <c r="B366" s="612"/>
      <c r="C366" s="2545"/>
      <c r="D366" s="2545"/>
      <c r="E366" s="2545"/>
      <c r="F366" s="2545"/>
      <c r="G366" s="2545"/>
      <c r="H366" s="2545"/>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45"/>
      <c r="AD366" s="2545"/>
      <c r="AE366" s="2545"/>
      <c r="AF366" s="2545"/>
      <c r="AG366" s="2545"/>
      <c r="AH366" s="2545"/>
      <c r="AI366" s="2545"/>
      <c r="AJ366" s="2545"/>
      <c r="AK366" s="604"/>
      <c r="AL366" s="604"/>
      <c r="AM366" s="604"/>
      <c r="AN366" s="598"/>
      <c r="AO366" s="700" t="s">
        <v>227</v>
      </c>
      <c r="AP366" s="701">
        <f>SUM(AP357:AP365)</f>
        <v>10</v>
      </c>
      <c r="AQ366" s="2546">
        <f>IF(AP366&gt;0,AP366,0)</f>
        <v>10</v>
      </c>
      <c r="AR366" s="2546"/>
    </row>
    <row r="367" spans="1:46" s="551" customFormat="1" ht="12.75" customHeight="1">
      <c r="A367" s="604"/>
      <c r="B367" s="612"/>
      <c r="C367" s="2545"/>
      <c r="D367" s="2545"/>
      <c r="E367" s="2545"/>
      <c r="F367" s="2545"/>
      <c r="G367" s="2545"/>
      <c r="H367" s="2545"/>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45"/>
      <c r="AD367" s="2545"/>
      <c r="AE367" s="2545"/>
      <c r="AF367" s="2545"/>
      <c r="AG367" s="2545"/>
      <c r="AH367" s="2545"/>
      <c r="AI367" s="2545"/>
      <c r="AJ367" s="254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23" t="s">
        <v>1458</v>
      </c>
      <c r="D369" s="2523"/>
      <c r="E369" s="2523"/>
      <c r="F369" s="2523"/>
      <c r="G369" s="2523"/>
      <c r="H369" s="2523"/>
      <c r="I369" s="2523"/>
      <c r="J369" s="2523"/>
      <c r="K369" s="2523"/>
      <c r="L369" s="2523"/>
      <c r="M369" s="2523"/>
      <c r="N369" s="2523"/>
      <c r="O369" s="2523"/>
      <c r="P369" s="2523"/>
      <c r="Q369" s="2523"/>
      <c r="R369" s="2523"/>
      <c r="S369" s="2523"/>
      <c r="T369" s="2523"/>
      <c r="U369" s="2523"/>
      <c r="V369" s="2523"/>
      <c r="W369" s="2523"/>
      <c r="X369" s="2523"/>
      <c r="Y369" s="2523"/>
      <c r="Z369" s="2523"/>
      <c r="AA369" s="2523"/>
      <c r="AB369" s="2523"/>
      <c r="AC369" s="2523"/>
      <c r="AD369" s="2523"/>
      <c r="AE369" s="2523"/>
      <c r="AF369" s="2523"/>
      <c r="AG369" s="2523"/>
      <c r="AH369" s="2523"/>
      <c r="AI369" s="2523"/>
      <c r="AJ369" s="2523"/>
      <c r="AK369" s="604"/>
      <c r="AL369" s="604"/>
      <c r="AM369" s="604"/>
      <c r="AN369" s="598"/>
      <c r="AO369" s="696" t="s">
        <v>456</v>
      </c>
      <c r="AP369" s="697">
        <f>IF(C442="Yes",5,0)</f>
        <v>0</v>
      </c>
    </row>
    <row r="370" spans="1:81" s="551" customFormat="1" ht="12.75" customHeight="1">
      <c r="A370" s="604"/>
      <c r="B370" s="612"/>
      <c r="C370" s="2523"/>
      <c r="D370" s="2523"/>
      <c r="E370" s="2523"/>
      <c r="F370" s="2523"/>
      <c r="G370" s="2523"/>
      <c r="H370" s="2523"/>
      <c r="I370" s="2523"/>
      <c r="J370" s="2523"/>
      <c r="K370" s="2523"/>
      <c r="L370" s="2523"/>
      <c r="M370" s="2523"/>
      <c r="N370" s="2523"/>
      <c r="O370" s="2523"/>
      <c r="P370" s="2523"/>
      <c r="Q370" s="2523"/>
      <c r="R370" s="2523"/>
      <c r="S370" s="2523"/>
      <c r="T370" s="2523"/>
      <c r="U370" s="2523"/>
      <c r="V370" s="2523"/>
      <c r="W370" s="2523"/>
      <c r="X370" s="2523"/>
      <c r="Y370" s="2523"/>
      <c r="Z370" s="2523"/>
      <c r="AA370" s="2523"/>
      <c r="AB370" s="2523"/>
      <c r="AC370" s="2523"/>
      <c r="AD370" s="2523"/>
      <c r="AE370" s="2523"/>
      <c r="AF370" s="2523"/>
      <c r="AG370" s="2523"/>
      <c r="AH370" s="2523"/>
      <c r="AI370" s="2523"/>
      <c r="AJ370" s="2523"/>
      <c r="AK370" s="604"/>
      <c r="AL370" s="604"/>
      <c r="AM370" s="604"/>
      <c r="AN370" s="598"/>
      <c r="AO370" s="696" t="s">
        <v>461</v>
      </c>
      <c r="AP370" s="697">
        <f>IF(C449="Yes",5,0)</f>
        <v>0</v>
      </c>
    </row>
    <row r="371" spans="1:81" s="551" customFormat="1" ht="68.150000000000006" customHeight="1">
      <c r="A371" s="604"/>
      <c r="B371" s="612"/>
      <c r="C371" s="2523"/>
      <c r="D371" s="2523"/>
      <c r="E371" s="2523"/>
      <c r="F371" s="2523"/>
      <c r="G371" s="2523"/>
      <c r="H371" s="2523"/>
      <c r="I371" s="2523"/>
      <c r="J371" s="2523"/>
      <c r="K371" s="2523"/>
      <c r="L371" s="2523"/>
      <c r="M371" s="2523"/>
      <c r="N371" s="2523"/>
      <c r="O371" s="2523"/>
      <c r="P371" s="2523"/>
      <c r="Q371" s="2523"/>
      <c r="R371" s="2523"/>
      <c r="S371" s="2523"/>
      <c r="T371" s="2523"/>
      <c r="U371" s="2523"/>
      <c r="V371" s="2523"/>
      <c r="W371" s="2523"/>
      <c r="X371" s="2523"/>
      <c r="Y371" s="2523"/>
      <c r="Z371" s="2523"/>
      <c r="AA371" s="2523"/>
      <c r="AB371" s="2523"/>
      <c r="AC371" s="2523"/>
      <c r="AD371" s="2523"/>
      <c r="AE371" s="2523"/>
      <c r="AF371" s="2523"/>
      <c r="AG371" s="2523"/>
      <c r="AH371" s="2523"/>
      <c r="AI371" s="2523"/>
      <c r="AJ371" s="2523"/>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31">
        <f>Application!DU802-U374</f>
        <v>128</v>
      </c>
      <c r="V373" s="2631"/>
      <c r="W373" s="263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32">
        <f>IF(Application!D211="SRO",Application!DU755,Application!AG756)</f>
        <v>0</v>
      </c>
      <c r="V374" s="2632"/>
      <c r="W374" s="263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46">
        <f>IF(AP375&gt;0,AP375,0)</f>
        <v>0</v>
      </c>
      <c r="AR375" s="2546"/>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27" t="s">
        <v>1460</v>
      </c>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24" t="s">
        <v>591</v>
      </c>
      <c r="D381" s="248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5" t="s">
        <v>1462</v>
      </c>
      <c r="AG381" s="2525"/>
      <c r="AH381" s="2525"/>
      <c r="AI381" s="2525"/>
      <c r="AJ381" s="2525"/>
      <c r="AK381" s="2525"/>
      <c r="AL381" s="252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27" t="s">
        <v>1463</v>
      </c>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2527"/>
      <c r="AE384" s="2527"/>
      <c r="AF384" s="2527"/>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8"/>
      <c r="G385" s="2528"/>
      <c r="H385" s="2528"/>
      <c r="I385" s="2528"/>
      <c r="J385" s="2528"/>
      <c r="K385" s="2528"/>
      <c r="L385" s="2528"/>
      <c r="M385" s="2528"/>
      <c r="N385" s="2528"/>
      <c r="O385" s="2528"/>
      <c r="P385" s="2528"/>
      <c r="Q385" s="2528"/>
      <c r="R385" s="2528"/>
      <c r="S385" s="2528"/>
      <c r="T385" s="2528"/>
      <c r="U385" s="2528"/>
      <c r="V385" s="2528"/>
      <c r="W385" s="2528"/>
      <c r="X385" s="2528"/>
      <c r="Y385" s="2528"/>
      <c r="Z385" s="2528"/>
      <c r="AA385" s="2528"/>
      <c r="AB385" s="2528"/>
      <c r="AC385" s="2528"/>
      <c r="AD385" s="2528"/>
      <c r="AE385" s="2528"/>
      <c r="AF385" s="2528"/>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8"/>
      <c r="G386" s="2528"/>
      <c r="H386" s="2528"/>
      <c r="I386" s="2528"/>
      <c r="J386" s="2528"/>
      <c r="K386" s="2528"/>
      <c r="L386" s="2528"/>
      <c r="M386" s="2528"/>
      <c r="N386" s="2528"/>
      <c r="O386" s="2528"/>
      <c r="P386" s="2528"/>
      <c r="Q386" s="2528"/>
      <c r="R386" s="2528"/>
      <c r="S386" s="2528"/>
      <c r="T386" s="2528"/>
      <c r="U386" s="2528"/>
      <c r="V386" s="2528"/>
      <c r="W386" s="2528"/>
      <c r="X386" s="2528"/>
      <c r="Y386" s="2528"/>
      <c r="Z386" s="2528"/>
      <c r="AA386" s="2528"/>
      <c r="AB386" s="2528"/>
      <c r="AC386" s="2528"/>
      <c r="AD386" s="2528"/>
      <c r="AE386" s="2528"/>
      <c r="AF386" s="2528"/>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8"/>
      <c r="G387" s="2528"/>
      <c r="H387" s="2528"/>
      <c r="I387" s="2528"/>
      <c r="J387" s="2528"/>
      <c r="K387" s="2528"/>
      <c r="L387" s="2528"/>
      <c r="M387" s="2528"/>
      <c r="N387" s="2528"/>
      <c r="O387" s="2528"/>
      <c r="P387" s="2528"/>
      <c r="Q387" s="2528"/>
      <c r="R387" s="2528"/>
      <c r="S387" s="2528"/>
      <c r="T387" s="2528"/>
      <c r="U387" s="2528"/>
      <c r="V387" s="2528"/>
      <c r="W387" s="2528"/>
      <c r="X387" s="2528"/>
      <c r="Y387" s="2528"/>
      <c r="Z387" s="2528"/>
      <c r="AA387" s="2528"/>
      <c r="AB387" s="2528"/>
      <c r="AC387" s="2528"/>
      <c r="AD387" s="2528"/>
      <c r="AE387" s="2528"/>
      <c r="AF387" s="2528"/>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8"/>
      <c r="G388" s="2528"/>
      <c r="H388" s="2528"/>
      <c r="I388" s="2528"/>
      <c r="J388" s="2528"/>
      <c r="K388" s="2528"/>
      <c r="L388" s="2528"/>
      <c r="M388" s="2528"/>
      <c r="N388" s="2528"/>
      <c r="O388" s="2528"/>
      <c r="P388" s="2528"/>
      <c r="Q388" s="2528"/>
      <c r="R388" s="2528"/>
      <c r="S388" s="2528"/>
      <c r="T388" s="2528"/>
      <c r="U388" s="2528"/>
      <c r="V388" s="2528"/>
      <c r="W388" s="2528"/>
      <c r="X388" s="2528"/>
      <c r="Y388" s="2528"/>
      <c r="Z388" s="2528"/>
      <c r="AA388" s="2528"/>
      <c r="AB388" s="2528"/>
      <c r="AC388" s="2528"/>
      <c r="AD388" s="2528"/>
      <c r="AE388" s="2528"/>
      <c r="AF388" s="2528"/>
      <c r="AL388" s="733"/>
      <c r="AN388" s="598"/>
      <c r="BS388" s="30"/>
      <c r="BT388" s="30"/>
      <c r="BU388" s="14"/>
      <c r="BV388" s="14"/>
      <c r="BW388" s="14"/>
      <c r="BX388" s="14"/>
      <c r="BY388" s="14"/>
      <c r="BZ388" s="14"/>
      <c r="CA388" s="14"/>
      <c r="CB388" s="14"/>
      <c r="CC388" s="14"/>
    </row>
    <row r="389" spans="1:81" s="551" customFormat="1" ht="12.75" customHeight="1">
      <c r="A389" s="537"/>
      <c r="B389" s="14"/>
      <c r="C389" s="2524" t="s">
        <v>591</v>
      </c>
      <c r="D389" s="248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5" t="s">
        <v>1462</v>
      </c>
      <c r="AG389" s="2525"/>
      <c r="AH389" s="2525"/>
      <c r="AI389" s="2525"/>
      <c r="AJ389" s="2525"/>
      <c r="AK389" s="2525"/>
      <c r="AL389" s="252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27" t="s">
        <v>1465</v>
      </c>
      <c r="G392" s="2527"/>
      <c r="H392" s="2527"/>
      <c r="I392" s="2527"/>
      <c r="J392" s="2527"/>
      <c r="K392" s="2527"/>
      <c r="L392" s="2527"/>
      <c r="M392" s="2527"/>
      <c r="N392" s="2527"/>
      <c r="O392" s="2527"/>
      <c r="P392" s="2527"/>
      <c r="Q392" s="2527"/>
      <c r="R392" s="2527"/>
      <c r="S392" s="2527"/>
      <c r="T392" s="2527"/>
      <c r="U392" s="2527"/>
      <c r="V392" s="2527"/>
      <c r="W392" s="2527"/>
      <c r="X392" s="2527"/>
      <c r="Y392" s="2527"/>
      <c r="Z392" s="2527"/>
      <c r="AA392" s="2527"/>
      <c r="AB392" s="2527"/>
      <c r="AC392" s="2527"/>
      <c r="AD392" s="2527"/>
      <c r="AE392" s="2527"/>
      <c r="AF392" s="2527"/>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8"/>
      <c r="G393" s="2528"/>
      <c r="H393" s="2528"/>
      <c r="I393" s="2528"/>
      <c r="J393" s="2528"/>
      <c r="K393" s="2528"/>
      <c r="L393" s="2528"/>
      <c r="M393" s="2528"/>
      <c r="N393" s="2528"/>
      <c r="O393" s="2528"/>
      <c r="P393" s="2528"/>
      <c r="Q393" s="2528"/>
      <c r="R393" s="2528"/>
      <c r="S393" s="2528"/>
      <c r="T393" s="2528"/>
      <c r="U393" s="2528"/>
      <c r="V393" s="2528"/>
      <c r="W393" s="2528"/>
      <c r="X393" s="2528"/>
      <c r="Y393" s="2528"/>
      <c r="Z393" s="2528"/>
      <c r="AA393" s="2528"/>
      <c r="AB393" s="2528"/>
      <c r="AC393" s="2528"/>
      <c r="AD393" s="2528"/>
      <c r="AE393" s="2528"/>
      <c r="AF393" s="2528"/>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8"/>
      <c r="G394" s="2528"/>
      <c r="H394" s="2528"/>
      <c r="I394" s="2528"/>
      <c r="J394" s="2528"/>
      <c r="K394" s="2528"/>
      <c r="L394" s="2528"/>
      <c r="M394" s="2528"/>
      <c r="N394" s="2528"/>
      <c r="O394" s="2528"/>
      <c r="P394" s="2528"/>
      <c r="Q394" s="2528"/>
      <c r="R394" s="2528"/>
      <c r="S394" s="2528"/>
      <c r="T394" s="2528"/>
      <c r="U394" s="2528"/>
      <c r="V394" s="2528"/>
      <c r="W394" s="2528"/>
      <c r="X394" s="2528"/>
      <c r="Y394" s="2528"/>
      <c r="Z394" s="2528"/>
      <c r="AA394" s="2528"/>
      <c r="AB394" s="2528"/>
      <c r="AC394" s="2528"/>
      <c r="AD394" s="2528"/>
      <c r="AE394" s="2528"/>
      <c r="AF394" s="2528"/>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8"/>
      <c r="G395" s="2528"/>
      <c r="H395" s="2528"/>
      <c r="I395" s="2528"/>
      <c r="J395" s="2528"/>
      <c r="K395" s="2528"/>
      <c r="L395" s="2528"/>
      <c r="M395" s="2528"/>
      <c r="N395" s="2528"/>
      <c r="O395" s="2528"/>
      <c r="P395" s="2528"/>
      <c r="Q395" s="2528"/>
      <c r="R395" s="2528"/>
      <c r="S395" s="2528"/>
      <c r="T395" s="2528"/>
      <c r="U395" s="2528"/>
      <c r="V395" s="2528"/>
      <c r="W395" s="2528"/>
      <c r="X395" s="2528"/>
      <c r="Y395" s="2528"/>
      <c r="Z395" s="2528"/>
      <c r="AA395" s="2528"/>
      <c r="AB395" s="2528"/>
      <c r="AC395" s="2528"/>
      <c r="AD395" s="2528"/>
      <c r="AE395" s="2528"/>
      <c r="AF395" s="2528"/>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8"/>
      <c r="G396" s="2528"/>
      <c r="H396" s="2528"/>
      <c r="I396" s="2528"/>
      <c r="J396" s="2528"/>
      <c r="K396" s="2528"/>
      <c r="L396" s="2528"/>
      <c r="M396" s="2528"/>
      <c r="N396" s="2528"/>
      <c r="O396" s="2528"/>
      <c r="P396" s="2528"/>
      <c r="Q396" s="2528"/>
      <c r="R396" s="2528"/>
      <c r="S396" s="2528"/>
      <c r="T396" s="2528"/>
      <c r="U396" s="2528"/>
      <c r="V396" s="2528"/>
      <c r="W396" s="2528"/>
      <c r="X396" s="2528"/>
      <c r="Y396" s="2528"/>
      <c r="Z396" s="2528"/>
      <c r="AA396" s="2528"/>
      <c r="AB396" s="2528"/>
      <c r="AC396" s="2528"/>
      <c r="AD396" s="2528"/>
      <c r="AE396" s="2528"/>
      <c r="AF396" s="2528"/>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24" t="s">
        <v>545</v>
      </c>
      <c r="D397" s="248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5" t="s">
        <v>1467</v>
      </c>
      <c r="AG397" s="2525"/>
      <c r="AH397" s="2525"/>
      <c r="AI397" s="2525"/>
      <c r="AJ397" s="2525"/>
      <c r="AK397" s="2525"/>
      <c r="AL397" s="252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24" t="s">
        <v>591</v>
      </c>
      <c r="D399" s="248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5" t="s">
        <v>1462</v>
      </c>
      <c r="AG399" s="2525"/>
      <c r="AH399" s="2525"/>
      <c r="AI399" s="2525"/>
      <c r="AJ399" s="2525"/>
      <c r="AK399" s="2525"/>
      <c r="AL399" s="252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27" t="s">
        <v>1471</v>
      </c>
      <c r="G403" s="2527"/>
      <c r="H403" s="2527"/>
      <c r="I403" s="2527"/>
      <c r="J403" s="2527"/>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8"/>
      <c r="G404" s="2528"/>
      <c r="H404" s="2528"/>
      <c r="I404" s="2528"/>
      <c r="J404" s="2528"/>
      <c r="K404" s="2528"/>
      <c r="L404" s="2528"/>
      <c r="M404" s="2528"/>
      <c r="N404" s="2528"/>
      <c r="O404" s="2528"/>
      <c r="P404" s="2528"/>
      <c r="Q404" s="2528"/>
      <c r="R404" s="2528"/>
      <c r="S404" s="2528"/>
      <c r="T404" s="2528"/>
      <c r="U404" s="2528"/>
      <c r="V404" s="2528"/>
      <c r="W404" s="2528"/>
      <c r="X404" s="2528"/>
      <c r="Y404" s="2528"/>
      <c r="Z404" s="2528"/>
      <c r="AA404" s="2528"/>
      <c r="AB404" s="2528"/>
      <c r="AC404" s="2528"/>
      <c r="AD404" s="2528"/>
      <c r="AE404" s="2528"/>
      <c r="AF404" s="2528"/>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24" t="s">
        <v>591</v>
      </c>
      <c r="D407" s="248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5" t="s">
        <v>1462</v>
      </c>
      <c r="AG407" s="2525"/>
      <c r="AH407" s="2525"/>
      <c r="AI407" s="2525"/>
      <c r="AJ407" s="2525"/>
      <c r="AK407" s="2525"/>
      <c r="AL407" s="252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24" t="s">
        <v>545</v>
      </c>
      <c r="D409" s="248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5" t="s">
        <v>1474</v>
      </c>
      <c r="AG409" s="2525"/>
      <c r="AH409" s="2525"/>
      <c r="AI409" s="2525"/>
      <c r="AJ409" s="2525"/>
      <c r="AK409" s="2525"/>
      <c r="AL409" s="252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24" t="s">
        <v>591</v>
      </c>
      <c r="D412" s="2481"/>
      <c r="E412" s="716" t="s">
        <v>1475</v>
      </c>
      <c r="F412" s="2527" t="s">
        <v>1476</v>
      </c>
      <c r="G412" s="2527"/>
      <c r="H412" s="2527"/>
      <c r="I412" s="2527"/>
      <c r="J412" s="2527"/>
      <c r="K412" s="2527"/>
      <c r="L412" s="2527"/>
      <c r="M412" s="2527"/>
      <c r="N412" s="2527"/>
      <c r="O412" s="2527"/>
      <c r="P412" s="2527"/>
      <c r="Q412" s="2527"/>
      <c r="R412" s="2527"/>
      <c r="S412" s="2527"/>
      <c r="T412" s="2527"/>
      <c r="U412" s="2527"/>
      <c r="V412" s="2527"/>
      <c r="W412" s="2527"/>
      <c r="X412" s="2527"/>
      <c r="Y412" s="2527"/>
      <c r="Z412" s="2527"/>
      <c r="AA412" s="2527"/>
      <c r="AB412" s="2527"/>
      <c r="AC412" s="2527"/>
      <c r="AD412" s="2527"/>
      <c r="AE412" s="2527"/>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8"/>
      <c r="G413" s="2528"/>
      <c r="H413" s="2528"/>
      <c r="I413" s="2528"/>
      <c r="J413" s="2528"/>
      <c r="K413" s="2528"/>
      <c r="L413" s="2528"/>
      <c r="M413" s="2528"/>
      <c r="N413" s="2528"/>
      <c r="O413" s="2528"/>
      <c r="P413" s="2528"/>
      <c r="Q413" s="2528"/>
      <c r="R413" s="2528"/>
      <c r="S413" s="2528"/>
      <c r="T413" s="2528"/>
      <c r="U413" s="2528"/>
      <c r="V413" s="2528"/>
      <c r="W413" s="2528"/>
      <c r="X413" s="2528"/>
      <c r="Y413" s="2528"/>
      <c r="Z413" s="2528"/>
      <c r="AA413" s="2528"/>
      <c r="AB413" s="2528"/>
      <c r="AC413" s="2528"/>
      <c r="AD413" s="2528"/>
      <c r="AE413" s="2528"/>
      <c r="AF413" s="2449" t="s">
        <v>1462</v>
      </c>
      <c r="AG413" s="2449"/>
      <c r="AH413" s="2449"/>
      <c r="AI413" s="2449"/>
      <c r="AJ413" s="2449"/>
      <c r="AK413" s="2449"/>
      <c r="AL413" s="2529"/>
      <c r="AM413" s="571"/>
      <c r="AN413" s="598"/>
      <c r="BS413" s="571"/>
      <c r="BT413" s="571"/>
      <c r="BY413" s="571"/>
      <c r="BZ413" s="571"/>
      <c r="CA413" s="571"/>
      <c r="CB413" s="571"/>
      <c r="CC413" s="571"/>
    </row>
    <row r="414" spans="1:81" s="551" customFormat="1" ht="12.75" customHeight="1">
      <c r="A414" s="537"/>
      <c r="B414" s="14"/>
      <c r="C414" s="732"/>
      <c r="D414" s="14"/>
      <c r="E414" s="692"/>
      <c r="F414" s="2528"/>
      <c r="G414" s="2528"/>
      <c r="H414" s="2528"/>
      <c r="I414" s="2528"/>
      <c r="J414" s="2528"/>
      <c r="K414" s="2528"/>
      <c r="L414" s="2528"/>
      <c r="M414" s="2528"/>
      <c r="N414" s="2528"/>
      <c r="O414" s="2528"/>
      <c r="P414" s="2528"/>
      <c r="Q414" s="2528"/>
      <c r="R414" s="2528"/>
      <c r="S414" s="2528"/>
      <c r="T414" s="2528"/>
      <c r="U414" s="2528"/>
      <c r="V414" s="2528"/>
      <c r="W414" s="2528"/>
      <c r="X414" s="2528"/>
      <c r="Y414" s="2528"/>
      <c r="Z414" s="2528"/>
      <c r="AA414" s="2528"/>
      <c r="AB414" s="2528"/>
      <c r="AC414" s="2528"/>
      <c r="AD414" s="2528"/>
      <c r="AE414" s="2528"/>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7"/>
      <c r="G415" s="2547"/>
      <c r="H415" s="2547"/>
      <c r="I415" s="2547"/>
      <c r="J415" s="2547"/>
      <c r="K415" s="2547"/>
      <c r="L415" s="2547"/>
      <c r="M415" s="2547"/>
      <c r="N415" s="2547"/>
      <c r="O415" s="2547"/>
      <c r="P415" s="2547"/>
      <c r="Q415" s="2547"/>
      <c r="R415" s="2547"/>
      <c r="S415" s="2547"/>
      <c r="T415" s="2547"/>
      <c r="U415" s="2547"/>
      <c r="V415" s="2547"/>
      <c r="W415" s="2547"/>
      <c r="X415" s="2547"/>
      <c r="Y415" s="2547"/>
      <c r="Z415" s="2547"/>
      <c r="AA415" s="2547"/>
      <c r="AB415" s="2547"/>
      <c r="AC415" s="2547"/>
      <c r="AD415" s="2547"/>
      <c r="AE415" s="2547"/>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27" t="s">
        <v>1478</v>
      </c>
      <c r="G417" s="2527"/>
      <c r="H417" s="2527"/>
      <c r="I417" s="2527"/>
      <c r="J417" s="2527"/>
      <c r="K417" s="2527"/>
      <c r="L417" s="2527"/>
      <c r="M417" s="2527"/>
      <c r="N417" s="2527"/>
      <c r="O417" s="2527"/>
      <c r="P417" s="2527"/>
      <c r="Q417" s="2527"/>
      <c r="R417" s="2527"/>
      <c r="S417" s="2527"/>
      <c r="T417" s="2527"/>
      <c r="U417" s="2527"/>
      <c r="V417" s="2527"/>
      <c r="W417" s="2527"/>
      <c r="X417" s="2527"/>
      <c r="Y417" s="2527"/>
      <c r="Z417" s="2527"/>
      <c r="AA417" s="2527"/>
      <c r="AB417" s="2527"/>
      <c r="AC417" s="2527"/>
      <c r="AD417" s="2527"/>
      <c r="AE417" s="2527"/>
      <c r="AF417" s="748"/>
      <c r="AG417" s="748"/>
      <c r="AH417" s="748"/>
      <c r="AI417" s="748"/>
      <c r="AJ417" s="748"/>
      <c r="AK417" s="748"/>
      <c r="AL417" s="749"/>
      <c r="AM417" s="571"/>
    </row>
    <row r="418" spans="1:55" ht="13">
      <c r="A418" s="537"/>
      <c r="C418" s="732"/>
      <c r="E418" s="692"/>
      <c r="F418" s="2528"/>
      <c r="G418" s="2528"/>
      <c r="H418" s="2528"/>
      <c r="I418" s="2528"/>
      <c r="J418" s="2528"/>
      <c r="K418" s="2528"/>
      <c r="L418" s="2528"/>
      <c r="M418" s="2528"/>
      <c r="N418" s="2528"/>
      <c r="O418" s="2528"/>
      <c r="P418" s="2528"/>
      <c r="Q418" s="2528"/>
      <c r="R418" s="2528"/>
      <c r="S418" s="2528"/>
      <c r="T418" s="2528"/>
      <c r="U418" s="2528"/>
      <c r="V418" s="2528"/>
      <c r="W418" s="2528"/>
      <c r="X418" s="2528"/>
      <c r="Y418" s="2528"/>
      <c r="Z418" s="2528"/>
      <c r="AA418" s="2528"/>
      <c r="AB418" s="2528"/>
      <c r="AC418" s="2528"/>
      <c r="AD418" s="2528"/>
      <c r="AE418" s="2528"/>
      <c r="AF418" s="540"/>
      <c r="AG418" s="537"/>
      <c r="AH418" s="551"/>
      <c r="AI418" s="551"/>
      <c r="AJ418" s="551"/>
      <c r="AK418" s="551"/>
      <c r="AL418" s="733"/>
      <c r="AM418" s="571"/>
    </row>
    <row r="419" spans="1:55" s="551" customFormat="1" ht="12.75" customHeight="1">
      <c r="A419" s="537"/>
      <c r="B419" s="14"/>
      <c r="C419" s="732"/>
      <c r="D419" s="14"/>
      <c r="E419" s="692"/>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L419" s="733"/>
      <c r="AM419" s="571"/>
      <c r="AN419" s="598"/>
    </row>
    <row r="420" spans="1:55" s="551" customFormat="1" ht="12.75" customHeight="1">
      <c r="A420" s="537"/>
      <c r="B420" s="14"/>
      <c r="C420" s="740"/>
      <c r="F420" s="2528"/>
      <c r="G420" s="2528"/>
      <c r="H420" s="2528"/>
      <c r="I420" s="2528"/>
      <c r="J420" s="2528"/>
      <c r="K420" s="2528"/>
      <c r="L420" s="2528"/>
      <c r="M420" s="2528"/>
      <c r="N420" s="2528"/>
      <c r="O420" s="2528"/>
      <c r="P420" s="2528"/>
      <c r="Q420" s="2528"/>
      <c r="R420" s="2528"/>
      <c r="S420" s="2528"/>
      <c r="T420" s="2528"/>
      <c r="U420" s="2528"/>
      <c r="V420" s="2528"/>
      <c r="W420" s="2528"/>
      <c r="X420" s="2528"/>
      <c r="Y420" s="2528"/>
      <c r="Z420" s="2528"/>
      <c r="AA420" s="2528"/>
      <c r="AB420" s="2528"/>
      <c r="AC420" s="2528"/>
      <c r="AD420" s="2528"/>
      <c r="AE420" s="2528"/>
      <c r="AL420" s="733"/>
      <c r="AM420" s="571"/>
      <c r="AN420" s="598"/>
    </row>
    <row r="421" spans="1:55" s="551" customFormat="1" ht="12.75" customHeight="1">
      <c r="A421" s="537"/>
      <c r="B421" s="14"/>
      <c r="C421" s="2524" t="s">
        <v>591</v>
      </c>
      <c r="D421" s="248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9" t="s">
        <v>1462</v>
      </c>
      <c r="AG421" s="2449"/>
      <c r="AH421" s="2449"/>
      <c r="AI421" s="2449"/>
      <c r="AJ421" s="2449"/>
      <c r="AK421" s="2449"/>
      <c r="AL421" s="2529"/>
      <c r="AM421" s="571"/>
      <c r="AN421" s="598"/>
    </row>
    <row r="422" spans="1:55" s="551" customFormat="1" ht="12.75" customHeight="1">
      <c r="A422" s="537"/>
      <c r="B422" s="14"/>
      <c r="C422" s="740"/>
      <c r="AL422" s="733"/>
      <c r="AM422" s="571"/>
      <c r="AN422" s="598"/>
    </row>
    <row r="423" spans="1:55" s="551" customFormat="1" ht="12.75" customHeight="1">
      <c r="A423" s="537"/>
      <c r="B423" s="14"/>
      <c r="C423" s="2524" t="s">
        <v>591</v>
      </c>
      <c r="D423" s="248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9" t="s">
        <v>1474</v>
      </c>
      <c r="AG423" s="2449"/>
      <c r="AH423" s="2449"/>
      <c r="AI423" s="2449"/>
      <c r="AJ423" s="2449"/>
      <c r="AK423" s="2449"/>
      <c r="AL423" s="252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27" t="s">
        <v>1482</v>
      </c>
      <c r="G427" s="2527"/>
      <c r="H427" s="2527"/>
      <c r="I427" s="2527"/>
      <c r="J427" s="2527"/>
      <c r="K427" s="2527"/>
      <c r="L427" s="2527"/>
      <c r="M427" s="2527"/>
      <c r="N427" s="2527"/>
      <c r="O427" s="2527"/>
      <c r="P427" s="2527"/>
      <c r="Q427" s="2527"/>
      <c r="R427" s="2527"/>
      <c r="S427" s="2527"/>
      <c r="T427" s="2527"/>
      <c r="U427" s="2527"/>
      <c r="V427" s="2527"/>
      <c r="W427" s="2527"/>
      <c r="X427" s="2527"/>
      <c r="Y427" s="2527"/>
      <c r="Z427" s="2527"/>
      <c r="AA427" s="2527"/>
      <c r="AB427" s="2527"/>
      <c r="AC427" s="2527"/>
      <c r="AD427" s="2527"/>
      <c r="AE427" s="2527"/>
      <c r="AF427" s="715"/>
      <c r="AG427" s="715"/>
      <c r="AH427" s="715"/>
      <c r="AI427" s="715"/>
      <c r="AJ427" s="715"/>
      <c r="AK427" s="715"/>
      <c r="AL427" s="746"/>
      <c r="AM427" s="571"/>
      <c r="AN427" s="598"/>
    </row>
    <row r="428" spans="1:55" s="551" customFormat="1" ht="12.75" customHeight="1">
      <c r="A428" s="537"/>
      <c r="B428" s="14"/>
      <c r="C428" s="732"/>
      <c r="D428" s="14"/>
      <c r="E428" s="692"/>
      <c r="F428" s="2528"/>
      <c r="G428" s="2528"/>
      <c r="H428" s="2528"/>
      <c r="I428" s="2528"/>
      <c r="J428" s="2528"/>
      <c r="K428" s="2528"/>
      <c r="L428" s="2528"/>
      <c r="M428" s="2528"/>
      <c r="N428" s="2528"/>
      <c r="O428" s="2528"/>
      <c r="P428" s="2528"/>
      <c r="Q428" s="2528"/>
      <c r="R428" s="2528"/>
      <c r="S428" s="2528"/>
      <c r="T428" s="2528"/>
      <c r="U428" s="2528"/>
      <c r="V428" s="2528"/>
      <c r="W428" s="2528"/>
      <c r="X428" s="2528"/>
      <c r="Y428" s="2528"/>
      <c r="Z428" s="2528"/>
      <c r="AA428" s="2528"/>
      <c r="AB428" s="2528"/>
      <c r="AC428" s="2528"/>
      <c r="AD428" s="2528"/>
      <c r="AE428" s="2528"/>
      <c r="AF428" s="540"/>
      <c r="AG428" s="537"/>
      <c r="AL428" s="733"/>
      <c r="AM428" s="571"/>
      <c r="AN428" s="598"/>
    </row>
    <row r="429" spans="1:55" s="551" customFormat="1" ht="12.4" customHeight="1">
      <c r="A429" s="537"/>
      <c r="B429" s="14"/>
      <c r="C429" s="732"/>
      <c r="D429" s="14"/>
      <c r="E429" s="692"/>
      <c r="F429" s="2528"/>
      <c r="G429" s="2528"/>
      <c r="H429" s="2528"/>
      <c r="I429" s="2528"/>
      <c r="J429" s="2528"/>
      <c r="K429" s="2528"/>
      <c r="L429" s="2528"/>
      <c r="M429" s="2528"/>
      <c r="N429" s="2528"/>
      <c r="O429" s="2528"/>
      <c r="P429" s="2528"/>
      <c r="Q429" s="2528"/>
      <c r="R429" s="2528"/>
      <c r="S429" s="2528"/>
      <c r="T429" s="2528"/>
      <c r="U429" s="2528"/>
      <c r="V429" s="2528"/>
      <c r="W429" s="2528"/>
      <c r="X429" s="2528"/>
      <c r="Y429" s="2528"/>
      <c r="Z429" s="2528"/>
      <c r="AA429" s="2528"/>
      <c r="AB429" s="2528"/>
      <c r="AC429" s="2528"/>
      <c r="AD429" s="2528"/>
      <c r="AE429" s="2528"/>
      <c r="AL429" s="733"/>
      <c r="AM429" s="571"/>
      <c r="AN429" s="598"/>
    </row>
    <row r="430" spans="1:55" s="551" customFormat="1" ht="12.75" customHeight="1">
      <c r="A430" s="537"/>
      <c r="B430" s="14"/>
      <c r="C430" s="2524" t="s">
        <v>591</v>
      </c>
      <c r="D430" s="248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9" t="s">
        <v>1462</v>
      </c>
      <c r="AG430" s="2449"/>
      <c r="AH430" s="2449"/>
      <c r="AI430" s="2449"/>
      <c r="AJ430" s="2449"/>
      <c r="AK430" s="2449"/>
      <c r="AL430" s="252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527" t="s">
        <v>1485</v>
      </c>
      <c r="G433" s="2527"/>
      <c r="H433" s="2527"/>
      <c r="I433" s="2527"/>
      <c r="J433" s="2527"/>
      <c r="K433" s="2527"/>
      <c r="L433" s="2527"/>
      <c r="M433" s="2527"/>
      <c r="N433" s="2527"/>
      <c r="O433" s="2527"/>
      <c r="P433" s="2527"/>
      <c r="Q433" s="2527"/>
      <c r="R433" s="2527"/>
      <c r="S433" s="2527"/>
      <c r="T433" s="2527"/>
      <c r="U433" s="2527"/>
      <c r="V433" s="2527"/>
      <c r="W433" s="2527"/>
      <c r="X433" s="2527"/>
      <c r="Y433" s="2527"/>
      <c r="Z433" s="2527"/>
      <c r="AA433" s="2527"/>
      <c r="AB433" s="2527"/>
      <c r="AC433" s="2527"/>
      <c r="AD433" s="2527"/>
      <c r="AE433" s="2527"/>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8"/>
      <c r="G434" s="2528"/>
      <c r="H434" s="2528"/>
      <c r="I434" s="2528"/>
      <c r="J434" s="2528"/>
      <c r="K434" s="2528"/>
      <c r="L434" s="2528"/>
      <c r="M434" s="2528"/>
      <c r="N434" s="2528"/>
      <c r="O434" s="2528"/>
      <c r="P434" s="2528"/>
      <c r="Q434" s="2528"/>
      <c r="R434" s="2528"/>
      <c r="S434" s="2528"/>
      <c r="T434" s="2528"/>
      <c r="U434" s="2528"/>
      <c r="V434" s="2528"/>
      <c r="W434" s="2528"/>
      <c r="X434" s="2528"/>
      <c r="Y434" s="2528"/>
      <c r="Z434" s="2528"/>
      <c r="AA434" s="2528"/>
      <c r="AB434" s="2528"/>
      <c r="AC434" s="2528"/>
      <c r="AD434" s="2528"/>
      <c r="AE434" s="2528"/>
      <c r="AF434" s="595"/>
      <c r="AG434" s="595"/>
      <c r="AH434" s="595"/>
      <c r="AI434" s="595"/>
      <c r="AJ434" s="595"/>
      <c r="AK434" s="595"/>
      <c r="AL434" s="751"/>
      <c r="AM434" s="571"/>
      <c r="AO434" s="551"/>
      <c r="AP434" s="551"/>
    </row>
    <row r="435" spans="1:60" s="551" customFormat="1" ht="12.75" customHeight="1">
      <c r="A435" s="537"/>
      <c r="B435" s="14"/>
      <c r="C435" s="732"/>
      <c r="D435" s="14"/>
      <c r="E435" s="692"/>
      <c r="F435" s="2528"/>
      <c r="G435" s="2528"/>
      <c r="H435" s="2528"/>
      <c r="I435" s="2528"/>
      <c r="J435" s="2528"/>
      <c r="K435" s="2528"/>
      <c r="L435" s="2528"/>
      <c r="M435" s="2528"/>
      <c r="N435" s="2528"/>
      <c r="O435" s="2528"/>
      <c r="P435" s="2528"/>
      <c r="Q435" s="2528"/>
      <c r="R435" s="2528"/>
      <c r="S435" s="2528"/>
      <c r="T435" s="2528"/>
      <c r="U435" s="2528"/>
      <c r="V435" s="2528"/>
      <c r="W435" s="2528"/>
      <c r="X435" s="2528"/>
      <c r="Y435" s="2528"/>
      <c r="Z435" s="2528"/>
      <c r="AA435" s="2528"/>
      <c r="AB435" s="2528"/>
      <c r="AC435" s="2528"/>
      <c r="AD435" s="2528"/>
      <c r="AE435" s="2528"/>
      <c r="AF435" s="595"/>
      <c r="AG435" s="595"/>
      <c r="AH435" s="595"/>
      <c r="AI435" s="595"/>
      <c r="AJ435" s="595"/>
      <c r="AK435" s="595"/>
      <c r="AL435" s="751"/>
      <c r="AM435" s="571"/>
      <c r="AN435" s="598"/>
    </row>
    <row r="436" spans="1:60" s="551" customFormat="1" ht="12.75" customHeight="1">
      <c r="A436" s="537"/>
      <c r="B436" s="14"/>
      <c r="C436" s="752"/>
      <c r="D436" s="731"/>
      <c r="E436" s="720"/>
      <c r="F436" s="2528"/>
      <c r="G436" s="2528"/>
      <c r="H436" s="2528"/>
      <c r="I436" s="2528"/>
      <c r="J436" s="2528"/>
      <c r="K436" s="2528"/>
      <c r="L436" s="2528"/>
      <c r="M436" s="2528"/>
      <c r="N436" s="2528"/>
      <c r="O436" s="2528"/>
      <c r="P436" s="2528"/>
      <c r="Q436" s="2528"/>
      <c r="R436" s="2528"/>
      <c r="S436" s="2528"/>
      <c r="T436" s="2528"/>
      <c r="U436" s="2528"/>
      <c r="V436" s="2528"/>
      <c r="W436" s="2528"/>
      <c r="X436" s="2528"/>
      <c r="Y436" s="2528"/>
      <c r="Z436" s="2528"/>
      <c r="AA436" s="2528"/>
      <c r="AB436" s="2528"/>
      <c r="AC436" s="2528"/>
      <c r="AD436" s="2528"/>
      <c r="AE436" s="2528"/>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8"/>
      <c r="G437" s="2528"/>
      <c r="H437" s="2528"/>
      <c r="I437" s="2528"/>
      <c r="J437" s="2528"/>
      <c r="K437" s="2528"/>
      <c r="L437" s="2528"/>
      <c r="M437" s="2528"/>
      <c r="N437" s="2528"/>
      <c r="O437" s="2528"/>
      <c r="P437" s="2528"/>
      <c r="Q437" s="2528"/>
      <c r="R437" s="2528"/>
      <c r="S437" s="2528"/>
      <c r="T437" s="2528"/>
      <c r="U437" s="2528"/>
      <c r="V437" s="2528"/>
      <c r="W437" s="2528"/>
      <c r="X437" s="2528"/>
      <c r="Y437" s="2528"/>
      <c r="Z437" s="2528"/>
      <c r="AA437" s="2528"/>
      <c r="AB437" s="2528"/>
      <c r="AC437" s="2528"/>
      <c r="AD437" s="2528"/>
      <c r="AE437" s="2528"/>
      <c r="AF437" s="595"/>
      <c r="AG437" s="595"/>
      <c r="AH437" s="595"/>
      <c r="AI437" s="595"/>
      <c r="AJ437" s="595"/>
      <c r="AK437" s="595"/>
      <c r="AL437" s="751"/>
      <c r="AM437" s="571"/>
      <c r="AN437" s="598"/>
    </row>
    <row r="438" spans="1:60" s="551" customFormat="1" ht="12.75" customHeight="1">
      <c r="A438" s="537"/>
      <c r="B438" s="14"/>
      <c r="C438" s="752"/>
      <c r="D438" s="731"/>
      <c r="E438" s="720"/>
      <c r="F438" s="2528"/>
      <c r="G438" s="2528"/>
      <c r="H438" s="2528"/>
      <c r="I438" s="2528"/>
      <c r="J438" s="2528"/>
      <c r="K438" s="2528"/>
      <c r="L438" s="2528"/>
      <c r="M438" s="2528"/>
      <c r="N438" s="2528"/>
      <c r="O438" s="2528"/>
      <c r="P438" s="2528"/>
      <c r="Q438" s="2528"/>
      <c r="R438" s="2528"/>
      <c r="S438" s="2528"/>
      <c r="T438" s="2528"/>
      <c r="U438" s="2528"/>
      <c r="V438" s="2528"/>
      <c r="W438" s="2528"/>
      <c r="X438" s="2528"/>
      <c r="Y438" s="2528"/>
      <c r="Z438" s="2528"/>
      <c r="AA438" s="2528"/>
      <c r="AB438" s="2528"/>
      <c r="AC438" s="2528"/>
      <c r="AD438" s="2528"/>
      <c r="AE438" s="2528"/>
      <c r="AF438" s="595"/>
      <c r="AG438" s="595"/>
      <c r="AH438" s="595"/>
      <c r="AI438" s="595"/>
      <c r="AJ438" s="595"/>
      <c r="AK438" s="595"/>
      <c r="AL438" s="751"/>
      <c r="AM438" s="571"/>
      <c r="AN438" s="598"/>
    </row>
    <row r="439" spans="1:60" s="551" customFormat="1" ht="12.75" customHeight="1">
      <c r="A439" s="537"/>
      <c r="B439" s="14"/>
      <c r="C439" s="752"/>
      <c r="D439" s="731"/>
      <c r="E439" s="720"/>
      <c r="F439" s="2528"/>
      <c r="G439" s="2528"/>
      <c r="H439" s="2528"/>
      <c r="I439" s="2528"/>
      <c r="J439" s="2528"/>
      <c r="K439" s="2528"/>
      <c r="L439" s="2528"/>
      <c r="M439" s="2528"/>
      <c r="N439" s="2528"/>
      <c r="O439" s="2528"/>
      <c r="P439" s="2528"/>
      <c r="Q439" s="2528"/>
      <c r="R439" s="2528"/>
      <c r="S439" s="2528"/>
      <c r="T439" s="2528"/>
      <c r="U439" s="2528"/>
      <c r="V439" s="2528"/>
      <c r="W439" s="2528"/>
      <c r="X439" s="2528"/>
      <c r="Y439" s="2528"/>
      <c r="Z439" s="2528"/>
      <c r="AA439" s="2528"/>
      <c r="AB439" s="2528"/>
      <c r="AC439" s="2528"/>
      <c r="AD439" s="2528"/>
      <c r="AE439" s="2528"/>
      <c r="AF439" s="595"/>
      <c r="AG439" s="595"/>
      <c r="AH439" s="595"/>
      <c r="AI439" s="595"/>
      <c r="AJ439" s="595"/>
      <c r="AK439" s="595"/>
      <c r="AL439" s="751"/>
      <c r="AM439" s="571"/>
      <c r="AN439" s="598"/>
    </row>
    <row r="440" spans="1:60" s="551" customFormat="1" ht="12.75" customHeight="1">
      <c r="A440" s="537"/>
      <c r="B440" s="14"/>
      <c r="C440" s="752"/>
      <c r="D440" s="731"/>
      <c r="E440" s="720"/>
      <c r="F440" s="2528"/>
      <c r="G440" s="2528"/>
      <c r="H440" s="2528"/>
      <c r="I440" s="2528"/>
      <c r="J440" s="2528"/>
      <c r="K440" s="2528"/>
      <c r="L440" s="2528"/>
      <c r="M440" s="2528"/>
      <c r="N440" s="2528"/>
      <c r="O440" s="2528"/>
      <c r="P440" s="2528"/>
      <c r="Q440" s="2528"/>
      <c r="R440" s="2528"/>
      <c r="S440" s="2528"/>
      <c r="T440" s="2528"/>
      <c r="U440" s="2528"/>
      <c r="V440" s="2528"/>
      <c r="W440" s="2528"/>
      <c r="X440" s="2528"/>
      <c r="Y440" s="2528"/>
      <c r="Z440" s="2528"/>
      <c r="AA440" s="2528"/>
      <c r="AB440" s="2528"/>
      <c r="AC440" s="2528"/>
      <c r="AD440" s="2528"/>
      <c r="AE440" s="2528"/>
      <c r="AF440" s="595"/>
      <c r="AG440" s="595"/>
      <c r="AH440" s="595"/>
      <c r="AI440" s="595"/>
      <c r="AJ440" s="595"/>
      <c r="AK440" s="595"/>
      <c r="AL440" s="751"/>
      <c r="AM440" s="571"/>
      <c r="AN440" s="598"/>
    </row>
    <row r="441" spans="1:60" s="551" customFormat="1" ht="17.25" customHeight="1">
      <c r="A441" s="537"/>
      <c r="B441" s="14"/>
      <c r="C441" s="752"/>
      <c r="D441" s="731"/>
      <c r="E441" s="720"/>
      <c r="F441" s="2528"/>
      <c r="G441" s="2528"/>
      <c r="H441" s="2528"/>
      <c r="I441" s="2528"/>
      <c r="J441" s="2528"/>
      <c r="K441" s="2528"/>
      <c r="L441" s="2528"/>
      <c r="M441" s="2528"/>
      <c r="N441" s="2528"/>
      <c r="O441" s="2528"/>
      <c r="P441" s="2528"/>
      <c r="Q441" s="2528"/>
      <c r="R441" s="2528"/>
      <c r="S441" s="2528"/>
      <c r="T441" s="2528"/>
      <c r="U441" s="2528"/>
      <c r="V441" s="2528"/>
      <c r="W441" s="2528"/>
      <c r="X441" s="2528"/>
      <c r="Y441" s="2528"/>
      <c r="Z441" s="2528"/>
      <c r="AA441" s="2528"/>
      <c r="AB441" s="2528"/>
      <c r="AC441" s="2528"/>
      <c r="AD441" s="2528"/>
      <c r="AE441" s="2528"/>
      <c r="AL441" s="733"/>
      <c r="AM441" s="571"/>
      <c r="AN441" s="598"/>
    </row>
    <row r="442" spans="1:60" s="551" customFormat="1" ht="12.75" customHeight="1">
      <c r="A442" s="537"/>
      <c r="B442" s="14"/>
      <c r="C442" s="2524" t="s">
        <v>591</v>
      </c>
      <c r="D442" s="248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9" t="s">
        <v>1462</v>
      </c>
      <c r="AG442" s="2449"/>
      <c r="AH442" s="2449"/>
      <c r="AI442" s="2449"/>
      <c r="AJ442" s="2449"/>
      <c r="AK442" s="2449"/>
      <c r="AL442" s="252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27" t="s">
        <v>1488</v>
      </c>
      <c r="G445" s="2527"/>
      <c r="H445" s="2527"/>
      <c r="I445" s="2527"/>
      <c r="J445" s="2527"/>
      <c r="K445" s="2527"/>
      <c r="L445" s="2527"/>
      <c r="M445" s="2527"/>
      <c r="N445" s="2527"/>
      <c r="O445" s="2527"/>
      <c r="P445" s="2527"/>
      <c r="Q445" s="2527"/>
      <c r="R445" s="2527"/>
      <c r="S445" s="2527"/>
      <c r="T445" s="2527"/>
      <c r="U445" s="2527"/>
      <c r="V445" s="2527"/>
      <c r="W445" s="2527"/>
      <c r="X445" s="2527"/>
      <c r="Y445" s="2527"/>
      <c r="Z445" s="2527"/>
      <c r="AA445" s="2527"/>
      <c r="AB445" s="2527"/>
      <c r="AC445" s="2527"/>
      <c r="AD445" s="2527"/>
      <c r="AE445" s="2527"/>
      <c r="AF445" s="715"/>
      <c r="AG445" s="715"/>
      <c r="AH445" s="715"/>
      <c r="AI445" s="715"/>
      <c r="AJ445" s="715"/>
      <c r="AK445" s="715"/>
      <c r="AL445" s="746"/>
      <c r="AM445" s="571"/>
      <c r="AN445" s="598"/>
    </row>
    <row r="446" spans="1:60" s="551" customFormat="1" ht="12.75" customHeight="1">
      <c r="A446" s="537"/>
      <c r="B446" s="14"/>
      <c r="C446" s="752"/>
      <c r="D446" s="731"/>
      <c r="E446" s="720"/>
      <c r="F446" s="2528"/>
      <c r="G446" s="2528"/>
      <c r="H446" s="2528"/>
      <c r="I446" s="2528"/>
      <c r="J446" s="2528"/>
      <c r="K446" s="2528"/>
      <c r="L446" s="2528"/>
      <c r="M446" s="2528"/>
      <c r="N446" s="2528"/>
      <c r="O446" s="2528"/>
      <c r="P446" s="2528"/>
      <c r="Q446" s="2528"/>
      <c r="R446" s="2528"/>
      <c r="S446" s="2528"/>
      <c r="T446" s="2528"/>
      <c r="U446" s="2528"/>
      <c r="V446" s="2528"/>
      <c r="W446" s="2528"/>
      <c r="X446" s="2528"/>
      <c r="Y446" s="2528"/>
      <c r="Z446" s="2528"/>
      <c r="AA446" s="2528"/>
      <c r="AB446" s="2528"/>
      <c r="AC446" s="2528"/>
      <c r="AD446" s="2528"/>
      <c r="AE446" s="2528"/>
      <c r="AF446" s="592"/>
      <c r="AG446" s="592"/>
      <c r="AH446" s="592"/>
      <c r="AI446" s="592"/>
      <c r="AJ446" s="592"/>
      <c r="AK446" s="592"/>
      <c r="AL446" s="721"/>
      <c r="AM446" s="571"/>
      <c r="AN446" s="598"/>
    </row>
    <row r="447" spans="1:60" s="551" customFormat="1" ht="12.75" customHeight="1">
      <c r="A447" s="537"/>
      <c r="B447" s="14"/>
      <c r="C447" s="752"/>
      <c r="D447" s="731"/>
      <c r="E447" s="720"/>
      <c r="F447" s="2528"/>
      <c r="G447" s="2528"/>
      <c r="H447" s="2528"/>
      <c r="I447" s="2528"/>
      <c r="J447" s="2528"/>
      <c r="K447" s="2528"/>
      <c r="L447" s="2528"/>
      <c r="M447" s="2528"/>
      <c r="N447" s="2528"/>
      <c r="O447" s="2528"/>
      <c r="P447" s="2528"/>
      <c r="Q447" s="2528"/>
      <c r="R447" s="2528"/>
      <c r="S447" s="2528"/>
      <c r="T447" s="2528"/>
      <c r="U447" s="2528"/>
      <c r="V447" s="2528"/>
      <c r="W447" s="2528"/>
      <c r="X447" s="2528"/>
      <c r="Y447" s="2528"/>
      <c r="Z447" s="2528"/>
      <c r="AA447" s="2528"/>
      <c r="AB447" s="2528"/>
      <c r="AC447" s="2528"/>
      <c r="AD447" s="2528"/>
      <c r="AE447" s="2528"/>
      <c r="AF447" s="592"/>
      <c r="AG447" s="592"/>
      <c r="AH447" s="592"/>
      <c r="AI447" s="592"/>
      <c r="AJ447" s="592"/>
      <c r="AK447" s="592"/>
      <c r="AL447" s="721"/>
      <c r="AM447" s="571"/>
      <c r="AN447" s="598"/>
    </row>
    <row r="448" spans="1:60" s="551" customFormat="1" ht="12.75" customHeight="1">
      <c r="A448" s="537"/>
      <c r="B448" s="14"/>
      <c r="C448" s="752"/>
      <c r="D448" s="731"/>
      <c r="E448" s="720"/>
      <c r="F448" s="2528"/>
      <c r="G448" s="2528"/>
      <c r="H448" s="2528"/>
      <c r="I448" s="2528"/>
      <c r="J448" s="2528"/>
      <c r="K448" s="2528"/>
      <c r="L448" s="2528"/>
      <c r="M448" s="2528"/>
      <c r="N448" s="2528"/>
      <c r="O448" s="2528"/>
      <c r="P448" s="2528"/>
      <c r="Q448" s="2528"/>
      <c r="R448" s="2528"/>
      <c r="S448" s="2528"/>
      <c r="T448" s="2528"/>
      <c r="U448" s="2528"/>
      <c r="V448" s="2528"/>
      <c r="W448" s="2528"/>
      <c r="X448" s="2528"/>
      <c r="Y448" s="2528"/>
      <c r="Z448" s="2528"/>
      <c r="AA448" s="2528"/>
      <c r="AB448" s="2528"/>
      <c r="AC448" s="2528"/>
      <c r="AD448" s="2528"/>
      <c r="AE448" s="2528"/>
      <c r="AL448" s="733"/>
      <c r="AM448" s="571"/>
      <c r="AN448" s="598"/>
    </row>
    <row r="449" spans="1:40" s="551" customFormat="1" ht="12.75" customHeight="1">
      <c r="A449" s="537"/>
      <c r="B449" s="14"/>
      <c r="C449" s="2524" t="s">
        <v>591</v>
      </c>
      <c r="D449" s="248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9" t="s">
        <v>1462</v>
      </c>
      <c r="AG449" s="2449"/>
      <c r="AH449" s="2449"/>
      <c r="AI449" s="2449"/>
      <c r="AJ449" s="2449"/>
      <c r="AK449" s="2449"/>
      <c r="AL449" s="252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30" t="s">
        <v>591</v>
      </c>
      <c r="D453" s="2531"/>
      <c r="E453" s="716" t="s">
        <v>1497</v>
      </c>
      <c r="F453" s="2527" t="s">
        <v>1498</v>
      </c>
      <c r="G453" s="2527"/>
      <c r="H453" s="2527"/>
      <c r="I453" s="2527"/>
      <c r="J453" s="2527"/>
      <c r="K453" s="2527"/>
      <c r="L453" s="2527"/>
      <c r="M453" s="2527"/>
      <c r="N453" s="2527"/>
      <c r="O453" s="2527"/>
      <c r="P453" s="2527"/>
      <c r="Q453" s="2527"/>
      <c r="R453" s="2527"/>
      <c r="S453" s="2527"/>
      <c r="T453" s="2527"/>
      <c r="U453" s="2527"/>
      <c r="V453" s="2527"/>
      <c r="W453" s="2527"/>
      <c r="X453" s="2527"/>
      <c r="Y453" s="2527"/>
      <c r="Z453" s="2527"/>
      <c r="AA453" s="2527"/>
      <c r="AB453" s="2527"/>
      <c r="AC453" s="2527"/>
      <c r="AD453" s="2527"/>
      <c r="AE453" s="2527"/>
      <c r="AF453" s="2548" t="s">
        <v>1462</v>
      </c>
      <c r="AG453" s="2548"/>
      <c r="AH453" s="2548"/>
      <c r="AI453" s="2548"/>
      <c r="AJ453" s="2548"/>
      <c r="AK453" s="2548"/>
      <c r="AL453" s="2549"/>
      <c r="AM453" s="571"/>
      <c r="AN453" s="754"/>
    </row>
    <row r="454" spans="1:40" s="551" customFormat="1" ht="12.75" customHeight="1">
      <c r="A454" s="537"/>
      <c r="B454" s="14"/>
      <c r="C454" s="752"/>
      <c r="D454" s="731"/>
      <c r="E454" s="720"/>
      <c r="F454" s="2528"/>
      <c r="G454" s="2528"/>
      <c r="H454" s="2528"/>
      <c r="I454" s="2528"/>
      <c r="J454" s="2528"/>
      <c r="K454" s="2528"/>
      <c r="L454" s="2528"/>
      <c r="M454" s="2528"/>
      <c r="N454" s="2528"/>
      <c r="O454" s="2528"/>
      <c r="P454" s="2528"/>
      <c r="Q454" s="2528"/>
      <c r="R454" s="2528"/>
      <c r="S454" s="2528"/>
      <c r="T454" s="2528"/>
      <c r="U454" s="2528"/>
      <c r="V454" s="2528"/>
      <c r="W454" s="2528"/>
      <c r="X454" s="2528"/>
      <c r="Y454" s="2528"/>
      <c r="Z454" s="2528"/>
      <c r="AA454" s="2528"/>
      <c r="AB454" s="2528"/>
      <c r="AC454" s="2528"/>
      <c r="AD454" s="2528"/>
      <c r="AE454" s="2528"/>
      <c r="AF454" s="592"/>
      <c r="AG454" s="592"/>
      <c r="AH454" s="592"/>
      <c r="AI454" s="592"/>
      <c r="AJ454" s="592"/>
      <c r="AK454" s="592"/>
      <c r="AL454" s="721"/>
      <c r="AM454" s="571"/>
      <c r="AN454" s="755"/>
    </row>
    <row r="455" spans="1:40" s="551" customFormat="1" ht="17.649999999999999" customHeight="1">
      <c r="A455" s="537"/>
      <c r="B455" s="14"/>
      <c r="C455" s="757"/>
      <c r="D455" s="724"/>
      <c r="E455" s="725"/>
      <c r="F455" s="2547"/>
      <c r="G455" s="2547"/>
      <c r="H455" s="2547"/>
      <c r="I455" s="2547"/>
      <c r="J455" s="2547"/>
      <c r="K455" s="2547"/>
      <c r="L455" s="2547"/>
      <c r="M455" s="2547"/>
      <c r="N455" s="2547"/>
      <c r="O455" s="2547"/>
      <c r="P455" s="2547"/>
      <c r="Q455" s="2547"/>
      <c r="R455" s="2547"/>
      <c r="S455" s="2547"/>
      <c r="T455" s="2547"/>
      <c r="U455" s="2547"/>
      <c r="V455" s="2547"/>
      <c r="W455" s="2547"/>
      <c r="X455" s="2547"/>
      <c r="Y455" s="2547"/>
      <c r="Z455" s="2547"/>
      <c r="AA455" s="2547"/>
      <c r="AB455" s="2547"/>
      <c r="AC455" s="2547"/>
      <c r="AD455" s="2547"/>
      <c r="AE455" s="254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24" t="s">
        <v>591</v>
      </c>
      <c r="D457" s="2481"/>
      <c r="E457" s="716" t="s">
        <v>1503</v>
      </c>
      <c r="F457" s="2527" t="s">
        <v>1504</v>
      </c>
      <c r="G457" s="2527"/>
      <c r="H457" s="2527"/>
      <c r="I457" s="2527"/>
      <c r="J457" s="2527"/>
      <c r="K457" s="2527"/>
      <c r="L457" s="2527"/>
      <c r="M457" s="2527"/>
      <c r="N457" s="2527"/>
      <c r="O457" s="2527"/>
      <c r="P457" s="2527"/>
      <c r="Q457" s="2527"/>
      <c r="R457" s="2527"/>
      <c r="S457" s="2527"/>
      <c r="T457" s="2527"/>
      <c r="U457" s="2527"/>
      <c r="V457" s="2527"/>
      <c r="W457" s="2527"/>
      <c r="X457" s="2527"/>
      <c r="Y457" s="2527"/>
      <c r="Z457" s="2527"/>
      <c r="AA457" s="2527"/>
      <c r="AB457" s="2527"/>
      <c r="AC457" s="2527"/>
      <c r="AD457" s="2527"/>
      <c r="AE457" s="2527"/>
      <c r="AF457" s="2548" t="s">
        <v>1462</v>
      </c>
      <c r="AG457" s="2548"/>
      <c r="AH457" s="2548"/>
      <c r="AI457" s="2548"/>
      <c r="AJ457" s="2548"/>
      <c r="AK457" s="2548"/>
      <c r="AL457" s="2549"/>
      <c r="AM457" s="571"/>
      <c r="AN457" s="536"/>
    </row>
    <row r="458" spans="1:40" s="551" customFormat="1" ht="12.75" customHeight="1">
      <c r="A458" s="537"/>
      <c r="B458" s="14"/>
      <c r="C458" s="732"/>
      <c r="D458" s="14"/>
      <c r="E458" s="692"/>
      <c r="F458" s="2528"/>
      <c r="G458" s="2528"/>
      <c r="H458" s="2528"/>
      <c r="I458" s="2528"/>
      <c r="J458" s="2528"/>
      <c r="K458" s="2528"/>
      <c r="L458" s="2528"/>
      <c r="M458" s="2528"/>
      <c r="N458" s="2528"/>
      <c r="O458" s="2528"/>
      <c r="P458" s="2528"/>
      <c r="Q458" s="2528"/>
      <c r="R458" s="2528"/>
      <c r="S458" s="2528"/>
      <c r="T458" s="2528"/>
      <c r="U458" s="2528"/>
      <c r="V458" s="2528"/>
      <c r="W458" s="2528"/>
      <c r="X458" s="2528"/>
      <c r="Y458" s="2528"/>
      <c r="Z458" s="2528"/>
      <c r="AA458" s="2528"/>
      <c r="AB458" s="2528"/>
      <c r="AC458" s="2528"/>
      <c r="AD458" s="2528"/>
      <c r="AE458" s="2528"/>
      <c r="AF458" s="540"/>
      <c r="AG458" s="537"/>
      <c r="AL458" s="733"/>
      <c r="AM458" s="571"/>
      <c r="AN458" s="536"/>
    </row>
    <row r="459" spans="1:40" s="551" customFormat="1" ht="12.75" customHeight="1">
      <c r="A459" s="537"/>
      <c r="B459" s="14"/>
      <c r="C459" s="732"/>
      <c r="D459" s="14"/>
      <c r="E459" s="692"/>
      <c r="F459" s="2528"/>
      <c r="G459" s="2528"/>
      <c r="H459" s="2528"/>
      <c r="I459" s="2528"/>
      <c r="J459" s="2528"/>
      <c r="K459" s="2528"/>
      <c r="L459" s="2528"/>
      <c r="M459" s="2528"/>
      <c r="N459" s="2528"/>
      <c r="O459" s="2528"/>
      <c r="P459" s="2528"/>
      <c r="Q459" s="2528"/>
      <c r="R459" s="2528"/>
      <c r="S459" s="2528"/>
      <c r="T459" s="2528"/>
      <c r="U459" s="2528"/>
      <c r="V459" s="2528"/>
      <c r="W459" s="2528"/>
      <c r="X459" s="2528"/>
      <c r="Y459" s="2528"/>
      <c r="Z459" s="2528"/>
      <c r="AA459" s="2528"/>
      <c r="AB459" s="2528"/>
      <c r="AC459" s="2528"/>
      <c r="AD459" s="2528"/>
      <c r="AE459" s="2528"/>
      <c r="AF459" s="540"/>
      <c r="AG459" s="537"/>
      <c r="AL459" s="733"/>
      <c r="AM459" s="571"/>
      <c r="AN459" s="536"/>
    </row>
    <row r="460" spans="1:40" s="551" customFormat="1" ht="12.75" customHeight="1">
      <c r="A460" s="537"/>
      <c r="B460" s="14"/>
      <c r="C460" s="757"/>
      <c r="D460" s="724"/>
      <c r="E460" s="725"/>
      <c r="F460" s="2547"/>
      <c r="G460" s="2547"/>
      <c r="H460" s="2547"/>
      <c r="I460" s="2547"/>
      <c r="J460" s="2547"/>
      <c r="K460" s="2547"/>
      <c r="L460" s="2547"/>
      <c r="M460" s="2547"/>
      <c r="N460" s="2547"/>
      <c r="O460" s="2547"/>
      <c r="P460" s="2547"/>
      <c r="Q460" s="2547"/>
      <c r="R460" s="2547"/>
      <c r="S460" s="2547"/>
      <c r="T460" s="2547"/>
      <c r="U460" s="2547"/>
      <c r="V460" s="2547"/>
      <c r="W460" s="2547"/>
      <c r="X460" s="2547"/>
      <c r="Y460" s="2547"/>
      <c r="Z460" s="2547"/>
      <c r="AA460" s="2547"/>
      <c r="AB460" s="2547"/>
      <c r="AC460" s="2547"/>
      <c r="AD460" s="2547"/>
      <c r="AE460" s="254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27" t="s">
        <v>1507</v>
      </c>
      <c r="G462" s="2527"/>
      <c r="H462" s="2527"/>
      <c r="I462" s="2527"/>
      <c r="J462" s="2527"/>
      <c r="K462" s="2527"/>
      <c r="L462" s="2527"/>
      <c r="M462" s="2527"/>
      <c r="N462" s="2527"/>
      <c r="O462" s="2527"/>
      <c r="P462" s="2527"/>
      <c r="Q462" s="2527"/>
      <c r="R462" s="2527"/>
      <c r="S462" s="2527"/>
      <c r="T462" s="2527"/>
      <c r="U462" s="2527"/>
      <c r="V462" s="2527"/>
      <c r="W462" s="2527"/>
      <c r="X462" s="2527"/>
      <c r="Y462" s="2527"/>
      <c r="Z462" s="2527"/>
      <c r="AA462" s="2527"/>
      <c r="AB462" s="2527"/>
      <c r="AC462" s="2527"/>
      <c r="AD462" s="2527"/>
      <c r="AE462" s="2527"/>
      <c r="AF462" s="2527"/>
      <c r="AG462" s="745"/>
      <c r="AH462" s="715"/>
      <c r="AI462" s="715"/>
      <c r="AJ462" s="715"/>
      <c r="AK462" s="715"/>
      <c r="AL462" s="746"/>
      <c r="AM462" s="571"/>
      <c r="AN462" s="598"/>
    </row>
    <row r="463" spans="1:40" s="551" customFormat="1" ht="12.75" customHeight="1">
      <c r="A463" s="537"/>
      <c r="B463" s="14"/>
      <c r="C463" s="732"/>
      <c r="D463" s="14"/>
      <c r="E463" s="692"/>
      <c r="F463" s="2528"/>
      <c r="G463" s="2528"/>
      <c r="H463" s="2528"/>
      <c r="I463" s="2528"/>
      <c r="J463" s="2528"/>
      <c r="K463" s="2528"/>
      <c r="L463" s="2528"/>
      <c r="M463" s="2528"/>
      <c r="N463" s="2528"/>
      <c r="O463" s="2528"/>
      <c r="P463" s="2528"/>
      <c r="Q463" s="2528"/>
      <c r="R463" s="2528"/>
      <c r="S463" s="2528"/>
      <c r="T463" s="2528"/>
      <c r="U463" s="2528"/>
      <c r="V463" s="2528"/>
      <c r="W463" s="2528"/>
      <c r="X463" s="2528"/>
      <c r="Y463" s="2528"/>
      <c r="Z463" s="2528"/>
      <c r="AA463" s="2528"/>
      <c r="AB463" s="2528"/>
      <c r="AC463" s="2528"/>
      <c r="AD463" s="2528"/>
      <c r="AE463" s="2528"/>
      <c r="AF463" s="2528"/>
      <c r="AL463" s="733"/>
      <c r="AM463" s="571"/>
      <c r="AN463" s="598"/>
    </row>
    <row r="464" spans="1:40" s="551" customFormat="1" ht="12.75" customHeight="1">
      <c r="A464" s="537"/>
      <c r="B464" s="14"/>
      <c r="C464" s="740"/>
      <c r="F464" s="2528"/>
      <c r="G464" s="2528"/>
      <c r="H464" s="2528"/>
      <c r="I464" s="2528"/>
      <c r="J464" s="2528"/>
      <c r="K464" s="2528"/>
      <c r="L464" s="2528"/>
      <c r="M464" s="2528"/>
      <c r="N464" s="2528"/>
      <c r="O464" s="2528"/>
      <c r="P464" s="2528"/>
      <c r="Q464" s="2528"/>
      <c r="R464" s="2528"/>
      <c r="S464" s="2528"/>
      <c r="T464" s="2528"/>
      <c r="U464" s="2528"/>
      <c r="V464" s="2528"/>
      <c r="W464" s="2528"/>
      <c r="X464" s="2528"/>
      <c r="Y464" s="2528"/>
      <c r="Z464" s="2528"/>
      <c r="AA464" s="2528"/>
      <c r="AB464" s="2528"/>
      <c r="AC464" s="2528"/>
      <c r="AD464" s="2528"/>
      <c r="AE464" s="2528"/>
      <c r="AF464" s="2528"/>
      <c r="AL464" s="733"/>
      <c r="AM464" s="571"/>
      <c r="AN464" s="598"/>
    </row>
    <row r="465" spans="1:58" s="551" customFormat="1" ht="12.75" customHeight="1">
      <c r="A465" s="537"/>
      <c r="B465" s="14"/>
      <c r="C465" s="740"/>
      <c r="F465" s="2528"/>
      <c r="G465" s="2528"/>
      <c r="H465" s="2528"/>
      <c r="I465" s="2528"/>
      <c r="J465" s="2528"/>
      <c r="K465" s="2528"/>
      <c r="L465" s="2528"/>
      <c r="M465" s="2528"/>
      <c r="N465" s="2528"/>
      <c r="O465" s="2528"/>
      <c r="P465" s="2528"/>
      <c r="Q465" s="2528"/>
      <c r="R465" s="2528"/>
      <c r="S465" s="2528"/>
      <c r="T465" s="2528"/>
      <c r="U465" s="2528"/>
      <c r="V465" s="2528"/>
      <c r="W465" s="2528"/>
      <c r="X465" s="2528"/>
      <c r="Y465" s="2528"/>
      <c r="Z465" s="2528"/>
      <c r="AA465" s="2528"/>
      <c r="AB465" s="2528"/>
      <c r="AC465" s="2528"/>
      <c r="AD465" s="2528"/>
      <c r="AE465" s="2528"/>
      <c r="AF465" s="2528"/>
      <c r="AL465" s="733"/>
      <c r="AM465" s="571"/>
      <c r="AN465" s="598"/>
    </row>
    <row r="466" spans="1:58" s="551" customFormat="1" ht="12.75" customHeight="1">
      <c r="A466" s="537"/>
      <c r="B466" s="14"/>
      <c r="C466" s="2524" t="s">
        <v>591</v>
      </c>
      <c r="D466" s="248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5" t="s">
        <v>1462</v>
      </c>
      <c r="AG466" s="2525"/>
      <c r="AH466" s="2525"/>
      <c r="AI466" s="2525"/>
      <c r="AJ466" s="2525"/>
      <c r="AK466" s="2525"/>
      <c r="AL466" s="252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84">
        <f>IF(Application!D214="N/A",AS358,AS360)</f>
        <v>10</v>
      </c>
      <c r="AL469" s="2485"/>
      <c r="AM469" s="2486"/>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25" t="s">
        <v>1511</v>
      </c>
      <c r="AF472" s="2525"/>
      <c r="AG472" s="2525"/>
      <c r="AH472" s="2525"/>
      <c r="AI472" s="2525"/>
      <c r="AJ472" s="2525"/>
      <c r="AK472" s="2525"/>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50" t="s">
        <v>591</v>
      </c>
      <c r="D478" s="2551"/>
      <c r="E478" s="762" t="s">
        <v>507</v>
      </c>
      <c r="F478" s="2552" t="s">
        <v>1517</v>
      </c>
      <c r="G478" s="2552"/>
      <c r="H478" s="2552"/>
      <c r="I478" s="2552"/>
      <c r="J478" s="2552"/>
      <c r="K478" s="2552"/>
      <c r="L478" s="2552"/>
      <c r="M478" s="2552"/>
      <c r="N478" s="2552"/>
      <c r="O478" s="2552"/>
      <c r="P478" s="2552"/>
      <c r="Q478" s="2552"/>
      <c r="R478" s="2552"/>
      <c r="S478" s="2552"/>
      <c r="T478" s="2552"/>
      <c r="U478" s="2552"/>
      <c r="V478" s="2552"/>
      <c r="W478" s="2552"/>
      <c r="X478" s="2552"/>
      <c r="Y478" s="2552"/>
      <c r="Z478" s="2552"/>
      <c r="AA478" s="2552"/>
      <c r="AB478" s="2552"/>
      <c r="AC478" s="2552"/>
      <c r="AD478" s="2552"/>
      <c r="AE478" s="2552"/>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53"/>
      <c r="G479" s="2553"/>
      <c r="H479" s="2553"/>
      <c r="I479" s="2553"/>
      <c r="J479" s="2553"/>
      <c r="K479" s="2553"/>
      <c r="L479" s="2553"/>
      <c r="M479" s="2553"/>
      <c r="N479" s="2553"/>
      <c r="O479" s="2553"/>
      <c r="P479" s="2553"/>
      <c r="Q479" s="2553"/>
      <c r="R479" s="2553"/>
      <c r="S479" s="2553"/>
      <c r="T479" s="2553"/>
      <c r="U479" s="2553"/>
      <c r="V479" s="2553"/>
      <c r="W479" s="2553"/>
      <c r="X479" s="2553"/>
      <c r="Y479" s="2553"/>
      <c r="Z479" s="2553"/>
      <c r="AA479" s="2553"/>
      <c r="AB479" s="2553"/>
      <c r="AC479" s="2553"/>
      <c r="AD479" s="2553"/>
      <c r="AE479" s="2553"/>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26" t="s">
        <v>591</v>
      </c>
      <c r="G480" s="2626"/>
      <c r="H480" s="2626"/>
      <c r="I480" s="2626"/>
      <c r="J480" s="2626"/>
      <c r="K480" s="2626"/>
      <c r="L480" s="2626"/>
      <c r="M480" s="2626"/>
      <c r="N480" s="2626"/>
      <c r="O480" s="2626"/>
      <c r="P480" s="2626"/>
      <c r="Q480" s="2626"/>
      <c r="R480" s="2626"/>
      <c r="S480" s="2626"/>
      <c r="T480" s="2626"/>
      <c r="U480" s="2626"/>
      <c r="V480" s="2626"/>
      <c r="W480" s="2626"/>
      <c r="X480" s="2626"/>
      <c r="Y480" s="2626"/>
      <c r="Z480" s="2626"/>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27" t="s">
        <v>545</v>
      </c>
      <c r="D482" s="2628"/>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25" t="s">
        <v>591</v>
      </c>
      <c r="W485" s="2625"/>
      <c r="X485" s="262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25" t="s">
        <v>591</v>
      </c>
      <c r="W487" s="2625"/>
      <c r="X487" s="262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25" t="s">
        <v>591</v>
      </c>
      <c r="W492" s="2625"/>
      <c r="X492" s="262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15"/>
      <c r="E495" s="2615"/>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25" t="s">
        <v>591</v>
      </c>
      <c r="W496" s="2625"/>
      <c r="X496" s="262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25" t="s">
        <v>591</v>
      </c>
      <c r="W498" s="2625"/>
      <c r="X498" s="262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50" t="s">
        <v>591</v>
      </c>
      <c r="D501" s="2551"/>
      <c r="E501" s="762" t="s">
        <v>507</v>
      </c>
      <c r="F501" s="2552" t="s">
        <v>1517</v>
      </c>
      <c r="G501" s="2552"/>
      <c r="H501" s="2552"/>
      <c r="I501" s="2552"/>
      <c r="J501" s="2552"/>
      <c r="K501" s="2552"/>
      <c r="L501" s="2552"/>
      <c r="M501" s="2552"/>
      <c r="N501" s="2552"/>
      <c r="O501" s="2552"/>
      <c r="P501" s="2552"/>
      <c r="Q501" s="2552"/>
      <c r="R501" s="2552"/>
      <c r="S501" s="2552"/>
      <c r="T501" s="2552"/>
      <c r="U501" s="2552"/>
      <c r="V501" s="2552"/>
      <c r="W501" s="2552"/>
      <c r="X501" s="2552"/>
      <c r="Y501" s="2552"/>
      <c r="Z501" s="2552"/>
      <c r="AA501" s="2552"/>
      <c r="AB501" s="2552"/>
      <c r="AC501" s="2552"/>
      <c r="AD501" s="2552"/>
      <c r="AE501" s="255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53"/>
      <c r="G502" s="2553"/>
      <c r="H502" s="2553"/>
      <c r="I502" s="2553"/>
      <c r="J502" s="2553"/>
      <c r="K502" s="2553"/>
      <c r="L502" s="2553"/>
      <c r="M502" s="2553"/>
      <c r="N502" s="2553"/>
      <c r="O502" s="2553"/>
      <c r="P502" s="2553"/>
      <c r="Q502" s="2553"/>
      <c r="R502" s="2553"/>
      <c r="S502" s="2553"/>
      <c r="T502" s="2553"/>
      <c r="U502" s="2553"/>
      <c r="V502" s="2553"/>
      <c r="W502" s="2553"/>
      <c r="X502" s="2553"/>
      <c r="Y502" s="2553"/>
      <c r="Z502" s="2553"/>
      <c r="AA502" s="2553"/>
      <c r="AB502" s="2553"/>
      <c r="AC502" s="2553"/>
      <c r="AD502" s="2553"/>
      <c r="AE502" s="255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21" t="s">
        <v>591</v>
      </c>
      <c r="G503" s="2621"/>
      <c r="H503" s="2621"/>
      <c r="I503" s="2621"/>
      <c r="J503" s="2621"/>
      <c r="K503" s="2621"/>
      <c r="L503" s="2621"/>
      <c r="M503" s="2621"/>
      <c r="N503" s="2621"/>
      <c r="O503" s="2621"/>
      <c r="P503" s="2621"/>
      <c r="Q503" s="2621"/>
      <c r="R503" s="2621"/>
      <c r="S503" s="2621"/>
      <c r="T503" s="2621"/>
      <c r="U503" s="2621"/>
      <c r="V503" s="2621"/>
      <c r="W503" s="2621"/>
      <c r="X503" s="2621"/>
      <c r="Y503" s="2621"/>
      <c r="Z503" s="2621"/>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50" t="s">
        <v>591</v>
      </c>
      <c r="D505" s="2551"/>
      <c r="E505" s="762" t="s">
        <v>757</v>
      </c>
      <c r="F505" s="2622" t="s">
        <v>1539</v>
      </c>
      <c r="G505" s="2622"/>
      <c r="H505" s="2622"/>
      <c r="I505" s="2622"/>
      <c r="J505" s="2622"/>
      <c r="K505" s="2622"/>
      <c r="L505" s="2622"/>
      <c r="M505" s="2622"/>
      <c r="N505" s="2622"/>
      <c r="O505" s="2622"/>
      <c r="P505" s="2622"/>
      <c r="Q505" s="2622"/>
      <c r="R505" s="2622"/>
      <c r="S505" s="2622"/>
      <c r="T505" s="2622"/>
      <c r="U505" s="2622"/>
      <c r="V505" s="2622"/>
      <c r="W505" s="2622"/>
      <c r="X505" s="2622"/>
      <c r="Y505" s="2622"/>
      <c r="Z505" s="2622"/>
      <c r="AA505" s="2622"/>
      <c r="AB505" s="2622"/>
      <c r="AC505" s="2622"/>
      <c r="AD505" s="2622"/>
      <c r="AE505" s="262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23"/>
      <c r="G506" s="2623"/>
      <c r="H506" s="2623"/>
      <c r="I506" s="2623"/>
      <c r="J506" s="2623"/>
      <c r="K506" s="2623"/>
      <c r="L506" s="2623"/>
      <c r="M506" s="2623"/>
      <c r="N506" s="2623"/>
      <c r="O506" s="2623"/>
      <c r="P506" s="2623"/>
      <c r="Q506" s="2623"/>
      <c r="R506" s="2623"/>
      <c r="S506" s="2623"/>
      <c r="T506" s="2623"/>
      <c r="U506" s="2623"/>
      <c r="V506" s="2623"/>
      <c r="W506" s="2623"/>
      <c r="X506" s="2623"/>
      <c r="Y506" s="2623"/>
      <c r="Z506" s="2623"/>
      <c r="AA506" s="2623"/>
      <c r="AB506" s="2623"/>
      <c r="AC506" s="2623"/>
      <c r="AD506" s="2623"/>
      <c r="AE506" s="262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24" t="s">
        <v>591</v>
      </c>
      <c r="G508" s="2624"/>
      <c r="H508" s="262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50" t="s">
        <v>591</v>
      </c>
      <c r="D510" s="2551"/>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14"/>
      <c r="D512" s="2615"/>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6" t="s">
        <v>591</v>
      </c>
      <c r="H513" s="2616"/>
      <c r="I513" s="2616"/>
      <c r="J513" s="2616"/>
      <c r="K513" s="2616"/>
      <c r="L513" s="2616"/>
      <c r="M513" s="2616"/>
      <c r="N513" s="2616"/>
      <c r="O513" s="2616"/>
      <c r="P513" s="2616"/>
      <c r="Q513" s="2616"/>
      <c r="R513" s="2616"/>
      <c r="S513" s="2616"/>
      <c r="T513" s="2616"/>
      <c r="U513" s="2616"/>
      <c r="V513" s="2616"/>
      <c r="W513" s="2616"/>
      <c r="X513" s="2616"/>
      <c r="Y513" s="2616"/>
      <c r="Z513" s="2616"/>
      <c r="AA513" s="2616"/>
      <c r="AB513" s="2616"/>
      <c r="AC513" s="2616"/>
      <c r="AD513" s="2616"/>
      <c r="AE513" s="2616"/>
      <c r="AF513" s="261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54" t="s">
        <v>591</v>
      </c>
      <c r="D515" s="2555"/>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54" t="s">
        <v>591</v>
      </c>
      <c r="D519" s="2555"/>
      <c r="F519" s="796" t="s">
        <v>1547</v>
      </c>
      <c r="G519" s="2528" t="s">
        <v>1548</v>
      </c>
      <c r="H519" s="2528"/>
      <c r="I519" s="2528"/>
      <c r="J519" s="2528"/>
      <c r="K519" s="2528"/>
      <c r="L519" s="2528"/>
      <c r="M519" s="2528"/>
      <c r="N519" s="2528"/>
      <c r="O519" s="2528"/>
      <c r="P519" s="2528"/>
      <c r="Q519" s="2528"/>
      <c r="R519" s="2528"/>
      <c r="S519" s="2528"/>
      <c r="T519" s="2528"/>
      <c r="U519" s="2528"/>
      <c r="V519" s="2528"/>
      <c r="W519" s="2528"/>
      <c r="X519" s="2528"/>
      <c r="Y519" s="2528"/>
      <c r="Z519" s="2528"/>
      <c r="AA519" s="2528"/>
      <c r="AB519" s="2528"/>
      <c r="AC519" s="2528"/>
      <c r="AD519" s="2528"/>
      <c r="AE519" s="2528"/>
      <c r="AF519" s="2528"/>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7"/>
      <c r="H520" s="2547"/>
      <c r="I520" s="2547"/>
      <c r="J520" s="2547"/>
      <c r="K520" s="2547"/>
      <c r="L520" s="2547"/>
      <c r="M520" s="2547"/>
      <c r="N520" s="2547"/>
      <c r="O520" s="2547"/>
      <c r="P520" s="2547"/>
      <c r="Q520" s="2547"/>
      <c r="R520" s="2547"/>
      <c r="S520" s="2547"/>
      <c r="T520" s="2547"/>
      <c r="U520" s="2547"/>
      <c r="V520" s="2547"/>
      <c r="W520" s="2547"/>
      <c r="X520" s="2547"/>
      <c r="Y520" s="2547"/>
      <c r="Z520" s="2547"/>
      <c r="AA520" s="2547"/>
      <c r="AB520" s="2547"/>
      <c r="AC520" s="2547"/>
      <c r="AD520" s="2547"/>
      <c r="AE520" s="2547"/>
      <c r="AF520" s="254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6" t="s">
        <v>591</v>
      </c>
      <c r="D523" s="2557"/>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8" t="s">
        <v>591</v>
      </c>
      <c r="G524" s="2558"/>
      <c r="H524" s="2558"/>
      <c r="I524" s="2558"/>
      <c r="J524" s="2558"/>
      <c r="K524" s="2558"/>
      <c r="L524" s="2558"/>
      <c r="M524" s="2558"/>
      <c r="N524" s="2558"/>
      <c r="O524" s="2558"/>
      <c r="P524" s="2558"/>
      <c r="Q524" s="2558"/>
      <c r="R524" s="2558"/>
      <c r="S524" s="2558"/>
      <c r="T524" s="2558"/>
      <c r="U524" s="2558"/>
      <c r="V524" s="2558"/>
      <c r="W524" s="2558"/>
      <c r="X524" s="2558"/>
      <c r="Y524" s="2558"/>
      <c r="Z524" s="2558"/>
      <c r="AA524" s="2558"/>
      <c r="AB524" s="2558"/>
      <c r="AC524" s="2558"/>
      <c r="AD524" s="2558"/>
      <c r="AE524" s="2558"/>
      <c r="AF524" s="255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9"/>
      <c r="G525" s="2559"/>
      <c r="H525" s="2559"/>
      <c r="I525" s="2559"/>
      <c r="J525" s="2559"/>
      <c r="K525" s="2559"/>
      <c r="L525" s="2559"/>
      <c r="M525" s="2559"/>
      <c r="N525" s="2559"/>
      <c r="O525" s="2559"/>
      <c r="P525" s="2559"/>
      <c r="Q525" s="2559"/>
      <c r="R525" s="2559"/>
      <c r="S525" s="2559"/>
      <c r="T525" s="2559"/>
      <c r="U525" s="2559"/>
      <c r="V525" s="2559"/>
      <c r="W525" s="2559"/>
      <c r="X525" s="2559"/>
      <c r="Y525" s="2559"/>
      <c r="Z525" s="2559"/>
      <c r="AA525" s="2559"/>
      <c r="AB525" s="2559"/>
      <c r="AC525" s="2559"/>
      <c r="AD525" s="2559"/>
      <c r="AE525" s="2559"/>
      <c r="AF525" s="255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84">
        <f>SUM(AG479:AG524)</f>
        <v>0</v>
      </c>
      <c r="AL535" s="2485"/>
      <c r="AM535" s="2486"/>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4" t="s">
        <v>1560</v>
      </c>
      <c r="AF538" s="2414"/>
      <c r="AG538" s="2414"/>
      <c r="AH538" s="2414"/>
      <c r="AI538" s="2414"/>
      <c r="AJ538" s="2414"/>
      <c r="AK538" s="2414"/>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81" t="s">
        <v>545</v>
      </c>
      <c r="D541" s="2481"/>
      <c r="E541" s="552"/>
      <c r="F541" s="2608" t="s">
        <v>1561</v>
      </c>
      <c r="G541" s="2609"/>
      <c r="H541" s="2609"/>
      <c r="I541" s="2609"/>
      <c r="J541" s="2609"/>
      <c r="K541" s="2609"/>
      <c r="L541" s="2609"/>
      <c r="M541" s="2609"/>
      <c r="N541" s="2609"/>
      <c r="O541" s="2609"/>
      <c r="P541" s="2609"/>
      <c r="Q541" s="2609"/>
      <c r="R541" s="2609"/>
      <c r="S541" s="2609"/>
      <c r="T541" s="2609"/>
      <c r="U541" s="2609"/>
      <c r="V541" s="2609"/>
      <c r="W541" s="2609"/>
      <c r="X541" s="2609"/>
      <c r="Y541" s="2609"/>
      <c r="Z541" s="2609"/>
      <c r="AA541" s="2609"/>
      <c r="AB541" s="2609"/>
      <c r="AC541" s="2609"/>
      <c r="AD541" s="2609"/>
      <c r="AE541" s="2609"/>
      <c r="AF541" s="2609"/>
      <c r="AG541" s="2609"/>
      <c r="AH541" s="2609"/>
      <c r="AI541" s="2609"/>
      <c r="AJ541" s="2609"/>
      <c r="AK541" s="2609"/>
      <c r="AL541" s="2610"/>
      <c r="AM541" s="596"/>
      <c r="AN541" s="598"/>
    </row>
    <row r="542" spans="1:81" s="551" customFormat="1" ht="12.75" customHeight="1">
      <c r="A542" s="540"/>
      <c r="B542" s="540"/>
      <c r="C542" s="552"/>
      <c r="D542" s="552"/>
      <c r="E542" s="552"/>
      <c r="F542" s="2611"/>
      <c r="G542" s="2612"/>
      <c r="H542" s="2612"/>
      <c r="I542" s="2612"/>
      <c r="J542" s="2612"/>
      <c r="K542" s="2612"/>
      <c r="L542" s="2612"/>
      <c r="M542" s="2612"/>
      <c r="N542" s="2612"/>
      <c r="O542" s="2612"/>
      <c r="P542" s="2612"/>
      <c r="Q542" s="2612"/>
      <c r="R542" s="2612"/>
      <c r="S542" s="2612"/>
      <c r="T542" s="2612"/>
      <c r="U542" s="2612"/>
      <c r="V542" s="2612"/>
      <c r="W542" s="2612"/>
      <c r="X542" s="2612"/>
      <c r="Y542" s="2612"/>
      <c r="Z542" s="2612"/>
      <c r="AA542" s="2612"/>
      <c r="AB542" s="2612"/>
      <c r="AC542" s="2612"/>
      <c r="AD542" s="2612"/>
      <c r="AE542" s="2612"/>
      <c r="AF542" s="2612"/>
      <c r="AG542" s="2612"/>
      <c r="AH542" s="2612"/>
      <c r="AI542" s="2612"/>
      <c r="AJ542" s="2612"/>
      <c r="AK542" s="2612"/>
      <c r="AL542" s="261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81" t="s">
        <v>591</v>
      </c>
      <c r="D544" s="248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03" t="s">
        <v>1563</v>
      </c>
      <c r="G545" s="2504"/>
      <c r="H545" s="2504"/>
      <c r="I545" s="2504"/>
      <c r="J545" s="2504"/>
      <c r="K545" s="2504"/>
      <c r="L545" s="2504"/>
      <c r="M545" s="2504"/>
      <c r="N545" s="2504"/>
      <c r="O545" s="2504"/>
      <c r="P545" s="2504"/>
      <c r="Q545" s="2504"/>
      <c r="R545" s="2504"/>
      <c r="S545" s="2504"/>
      <c r="T545" s="2504"/>
      <c r="U545" s="2504"/>
      <c r="V545" s="2504"/>
      <c r="W545" s="2504"/>
      <c r="X545" s="2504"/>
      <c r="Y545" s="2504"/>
      <c r="Z545" s="2504"/>
      <c r="AA545" s="2504"/>
      <c r="AB545" s="2504"/>
      <c r="AC545" s="2504"/>
      <c r="AD545" s="2504"/>
      <c r="AE545" s="2504"/>
      <c r="AF545" s="2504"/>
      <c r="AG545" s="2504"/>
      <c r="AH545" s="2504"/>
      <c r="AI545" s="2504"/>
      <c r="AJ545" s="2504"/>
      <c r="AK545" s="2504"/>
      <c r="AL545" s="2505"/>
      <c r="AM545" s="596"/>
      <c r="AN545" s="598"/>
      <c r="AS545" s="871"/>
      <c r="AT545" s="871"/>
      <c r="AU545" s="871"/>
      <c r="AV545" s="871"/>
      <c r="AW545" s="871"/>
    </row>
    <row r="546" spans="1:49" s="551" customFormat="1" ht="12.75" customHeight="1">
      <c r="B546" s="807"/>
      <c r="C546" s="807"/>
      <c r="D546" s="807"/>
      <c r="E546" s="807"/>
      <c r="F546" s="2503"/>
      <c r="G546" s="2504"/>
      <c r="H546" s="2504"/>
      <c r="I546" s="2504"/>
      <c r="J546" s="2504"/>
      <c r="K546" s="2504"/>
      <c r="L546" s="2504"/>
      <c r="M546" s="2504"/>
      <c r="N546" s="2504"/>
      <c r="O546" s="2504"/>
      <c r="P546" s="2504"/>
      <c r="Q546" s="2504"/>
      <c r="R546" s="2504"/>
      <c r="S546" s="2504"/>
      <c r="T546" s="2504"/>
      <c r="U546" s="2504"/>
      <c r="V546" s="2504"/>
      <c r="W546" s="2504"/>
      <c r="X546" s="2504"/>
      <c r="Y546" s="2504"/>
      <c r="Z546" s="2504"/>
      <c r="AA546" s="2504"/>
      <c r="AB546" s="2504"/>
      <c r="AC546" s="2504"/>
      <c r="AD546" s="2504"/>
      <c r="AE546" s="2504"/>
      <c r="AF546" s="2504"/>
      <c r="AG546" s="2504"/>
      <c r="AH546" s="2504"/>
      <c r="AI546" s="2504"/>
      <c r="AJ546" s="2504"/>
      <c r="AK546" s="2504"/>
      <c r="AL546" s="2505"/>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03" t="s">
        <v>1564</v>
      </c>
      <c r="G548" s="2504"/>
      <c r="H548" s="2504"/>
      <c r="I548" s="2504"/>
      <c r="J548" s="2504"/>
      <c r="K548" s="2504"/>
      <c r="L548" s="2504"/>
      <c r="M548" s="2504"/>
      <c r="N548" s="2504"/>
      <c r="O548" s="2504"/>
      <c r="P548" s="2504"/>
      <c r="Q548" s="2504"/>
      <c r="R548" s="2504"/>
      <c r="S548" s="2504"/>
      <c r="T548" s="2504"/>
      <c r="U548" s="2504"/>
      <c r="V548" s="2504"/>
      <c r="W548" s="2504"/>
      <c r="X548" s="2504"/>
      <c r="Y548" s="2504"/>
      <c r="Z548" s="2504"/>
      <c r="AA548" s="2504"/>
      <c r="AB548" s="2504"/>
      <c r="AC548" s="2504"/>
      <c r="AD548" s="2504"/>
      <c r="AE548" s="2504"/>
      <c r="AF548" s="2504"/>
      <c r="AG548" s="2504"/>
      <c r="AH548" s="2504"/>
      <c r="AI548" s="2504"/>
      <c r="AJ548" s="2504"/>
      <c r="AK548" s="2504"/>
      <c r="AL548" s="814"/>
      <c r="AM548" s="596"/>
      <c r="AN548" s="598"/>
    </row>
    <row r="549" spans="1:49" s="551" customFormat="1" ht="12.75" customHeight="1">
      <c r="B549" s="807"/>
      <c r="C549" s="807"/>
      <c r="D549" s="807"/>
      <c r="E549" s="807"/>
      <c r="F549" s="2506"/>
      <c r="G549" s="2507"/>
      <c r="H549" s="2507"/>
      <c r="I549" s="2507"/>
      <c r="J549" s="2507"/>
      <c r="K549" s="2507"/>
      <c r="L549" s="2507"/>
      <c r="M549" s="2507"/>
      <c r="N549" s="2507"/>
      <c r="O549" s="2507"/>
      <c r="P549" s="2507"/>
      <c r="Q549" s="2507"/>
      <c r="R549" s="2507"/>
      <c r="S549" s="2507"/>
      <c r="T549" s="2507"/>
      <c r="U549" s="2507"/>
      <c r="V549" s="2507"/>
      <c r="W549" s="2507"/>
      <c r="X549" s="2507"/>
      <c r="Y549" s="2507"/>
      <c r="Z549" s="2507"/>
      <c r="AA549" s="2507"/>
      <c r="AB549" s="2507"/>
      <c r="AC549" s="2507"/>
      <c r="AD549" s="2507"/>
      <c r="AE549" s="2507"/>
      <c r="AF549" s="2507"/>
      <c r="AG549" s="2507"/>
      <c r="AH549" s="2507"/>
      <c r="AI549" s="2507"/>
      <c r="AJ549" s="2507"/>
      <c r="AK549" s="250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30">
        <f>Application!AJ992</f>
        <v>29342184</v>
      </c>
      <c r="AQ550" s="2630"/>
      <c r="AR550" s="2630"/>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7">
        <f>'Sources and Uses Budget'!S107+'Sources and Uses Budget'!T107</f>
        <v>38287422</v>
      </c>
      <c r="AG551" s="2487"/>
      <c r="AH551" s="2487"/>
      <c r="AI551" s="2487"/>
      <c r="AJ551" s="2487"/>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5">
        <f>IFERROR(AP559,0)</f>
        <v>66237871.200000003</v>
      </c>
      <c r="AG552" s="2635"/>
      <c r="AH552" s="2635"/>
      <c r="AI552" s="2635"/>
      <c r="AJ552" s="2635"/>
      <c r="AK552" s="596"/>
      <c r="AL552" s="596"/>
      <c r="AM552" s="596"/>
      <c r="AN552" s="598"/>
      <c r="AP552" s="2630">
        <f>Application!AJ1045</f>
        <v>22593481.68</v>
      </c>
      <c r="AQ552" s="2630"/>
      <c r="AR552" s="2630"/>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6">
        <f>IFERROR(ROUNDDOWN(IF(C544="YES",((1-(AF551/AF552))*2),(1-(AF551/AF552))),2),0)</f>
        <v>0.42</v>
      </c>
      <c r="AG553" s="2636"/>
      <c r="AH553" s="2636"/>
      <c r="AI553" s="2636"/>
      <c r="AJ553" s="2636"/>
      <c r="AK553" s="596"/>
      <c r="AL553" s="596"/>
      <c r="AM553" s="596"/>
      <c r="AN553" s="598"/>
      <c r="AP553" s="2633">
        <f>Application!AJ1049</f>
        <v>12910560.960000001</v>
      </c>
      <c r="AQ553" s="2633"/>
      <c r="AR553" s="2633"/>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9">
        <f>IF(((AP552+AP553)/AP550)&gt;0.8,0.8,((AP552+AP553)/AP550))</f>
        <v>0.8</v>
      </c>
      <c r="AQ554" s="2629"/>
      <c r="AR554" s="2629"/>
      <c r="AS554" s="551" t="s">
        <v>2173</v>
      </c>
    </row>
    <row r="555" spans="1:49" s="551" customFormat="1" ht="12.75" customHeight="1">
      <c r="A555" s="625"/>
      <c r="B555" s="2566" t="s">
        <v>2033</v>
      </c>
      <c r="C555" s="2567"/>
      <c r="D555" s="2567"/>
      <c r="E555" s="2567"/>
      <c r="F555" s="2567"/>
      <c r="G555" s="2567"/>
      <c r="H555" s="2567"/>
      <c r="I555" s="2567"/>
      <c r="J555" s="2567"/>
      <c r="K555" s="2567"/>
      <c r="L555" s="2567"/>
      <c r="M555" s="2567"/>
      <c r="N555" s="2567"/>
      <c r="O555" s="2567"/>
      <c r="P555" s="2567"/>
      <c r="Q555" s="2567"/>
      <c r="R555" s="2567"/>
      <c r="S555" s="2567"/>
      <c r="T555" s="2567"/>
      <c r="U555" s="2567"/>
      <c r="V555" s="2567"/>
      <c r="W555" s="2567"/>
      <c r="X555" s="2567"/>
      <c r="Y555" s="2567"/>
      <c r="Z555" s="2567"/>
      <c r="AA555" s="2567"/>
      <c r="AB555" s="2567"/>
      <c r="AC555" s="2567"/>
      <c r="AD555" s="2567"/>
      <c r="AE555" s="2567"/>
      <c r="AF555" s="2567"/>
      <c r="AG555" s="2567"/>
      <c r="AH555" s="2567"/>
      <c r="AI555" s="2567"/>
      <c r="AJ555" s="2568"/>
      <c r="AK555" s="596"/>
      <c r="AL555" s="596"/>
      <c r="AM555" s="596"/>
      <c r="AN555" s="598"/>
    </row>
    <row r="556" spans="1:49" s="551" customFormat="1" ht="12.75" customHeight="1">
      <c r="A556" s="625"/>
      <c r="B556" s="2569"/>
      <c r="C556" s="2570"/>
      <c r="D556" s="2570"/>
      <c r="E556" s="2570"/>
      <c r="F556" s="2570"/>
      <c r="G556" s="2570"/>
      <c r="H556" s="2570"/>
      <c r="I556" s="2570"/>
      <c r="J556" s="2570"/>
      <c r="K556" s="2570"/>
      <c r="L556" s="2570"/>
      <c r="M556" s="2570"/>
      <c r="N556" s="2570"/>
      <c r="O556" s="2570"/>
      <c r="P556" s="2570"/>
      <c r="Q556" s="2570"/>
      <c r="R556" s="2570"/>
      <c r="S556" s="2570"/>
      <c r="T556" s="2570"/>
      <c r="U556" s="2570"/>
      <c r="V556" s="2570"/>
      <c r="W556" s="2570"/>
      <c r="X556" s="2570"/>
      <c r="Y556" s="2570"/>
      <c r="Z556" s="2570"/>
      <c r="AA556" s="2570"/>
      <c r="AB556" s="2570"/>
      <c r="AC556" s="2570"/>
      <c r="AD556" s="2570"/>
      <c r="AE556" s="2570"/>
      <c r="AF556" s="2570"/>
      <c r="AG556" s="2570"/>
      <c r="AH556" s="2570"/>
      <c r="AI556" s="2570"/>
      <c r="AJ556" s="2571"/>
      <c r="AK556" s="596"/>
      <c r="AL556" s="596"/>
      <c r="AM556" s="596"/>
      <c r="AN556" s="598"/>
      <c r="AP556" s="2630">
        <f>AP557-AP552-AP553</f>
        <v>42764124</v>
      </c>
      <c r="AQ556" s="2539"/>
      <c r="AR556" s="2539"/>
      <c r="AS556" s="551" t="s">
        <v>2175</v>
      </c>
    </row>
    <row r="557" spans="1:49" s="551" customFormat="1" ht="12.75" customHeight="1">
      <c r="A557" s="625"/>
      <c r="B557" s="2572"/>
      <c r="C557" s="2573"/>
      <c r="D557" s="2573"/>
      <c r="E557" s="2573"/>
      <c r="F557" s="2573"/>
      <c r="G557" s="2573"/>
      <c r="H557" s="2573"/>
      <c r="I557" s="2573"/>
      <c r="J557" s="2573"/>
      <c r="K557" s="2573"/>
      <c r="L557" s="2573"/>
      <c r="M557" s="2573"/>
      <c r="N557" s="2573"/>
      <c r="O557" s="2573"/>
      <c r="P557" s="2573"/>
      <c r="Q557" s="2573"/>
      <c r="R557" s="2573"/>
      <c r="S557" s="2573"/>
      <c r="T557" s="2573"/>
      <c r="U557" s="2573"/>
      <c r="V557" s="2573"/>
      <c r="W557" s="2573"/>
      <c r="X557" s="2573"/>
      <c r="Y557" s="2573"/>
      <c r="Z557" s="2573"/>
      <c r="AA557" s="2573"/>
      <c r="AB557" s="2573"/>
      <c r="AC557" s="2573"/>
      <c r="AD557" s="2573"/>
      <c r="AE557" s="2573"/>
      <c r="AF557" s="2573"/>
      <c r="AG557" s="2573"/>
      <c r="AH557" s="2573"/>
      <c r="AI557" s="2573"/>
      <c r="AJ557" s="2574"/>
      <c r="AK557" s="596"/>
      <c r="AL557" s="596"/>
      <c r="AM557" s="596"/>
      <c r="AN557" s="598"/>
      <c r="AP557" s="2630">
        <f>Application!AJ1053</f>
        <v>78268166.640000001</v>
      </c>
      <c r="AQ557" s="2630"/>
      <c r="AR557" s="2630"/>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75">
        <f>IFERROR(IF(AND(C541="N/A",C544="N/A"),0,IF(AF553=0,0,IF((AF553*100)&gt;12,12,(AF553*100)))),0)</f>
        <v>12</v>
      </c>
      <c r="AL559" s="2575"/>
      <c r="AM559" s="2576"/>
      <c r="AN559" s="598"/>
      <c r="AP559" s="2647">
        <f>AP556+(AP550*AP554)</f>
        <v>66237871.200000003</v>
      </c>
      <c r="AQ559" s="2648"/>
      <c r="AR559" s="264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4" t="s">
        <v>1314</v>
      </c>
      <c r="AF562" s="2414"/>
      <c r="AG562" s="2414"/>
      <c r="AH562" s="2414"/>
      <c r="AI562" s="2414"/>
      <c r="AJ562" s="2414"/>
      <c r="AK562" s="241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04" t="s">
        <v>2024</v>
      </c>
      <c r="C564" s="2504"/>
      <c r="D564" s="2504"/>
      <c r="E564" s="2504"/>
      <c r="F564" s="2504"/>
      <c r="G564" s="2504"/>
      <c r="H564" s="2504"/>
      <c r="I564" s="2504"/>
      <c r="J564" s="2504"/>
      <c r="K564" s="2504"/>
      <c r="L564" s="2504"/>
      <c r="M564" s="2504"/>
      <c r="N564" s="2504"/>
      <c r="O564" s="2504"/>
      <c r="P564" s="2504"/>
      <c r="Q564" s="2504"/>
      <c r="R564" s="2504"/>
      <c r="S564" s="2504"/>
      <c r="T564" s="2504"/>
      <c r="U564" s="2504"/>
      <c r="V564" s="2504"/>
      <c r="W564" s="2504"/>
      <c r="X564" s="2504"/>
      <c r="Y564" s="2504"/>
      <c r="Z564" s="2504"/>
      <c r="AA564" s="2504"/>
      <c r="AB564" s="2504"/>
      <c r="AC564" s="2504"/>
      <c r="AD564" s="2504"/>
      <c r="AE564" s="2504"/>
      <c r="AF564" s="2504"/>
      <c r="AG564" s="2504"/>
      <c r="AH564" s="2504"/>
      <c r="AI564" s="2504"/>
      <c r="AJ564" s="2504"/>
      <c r="AK564" s="643"/>
      <c r="AL564" s="574"/>
      <c r="AM564" s="604"/>
      <c r="AN564" s="598"/>
    </row>
    <row r="565" spans="1:42" s="551" customFormat="1" ht="12.75" customHeight="1">
      <c r="A565" s="604"/>
      <c r="B565" s="2504"/>
      <c r="C565" s="2504"/>
      <c r="D565" s="2504"/>
      <c r="E565" s="2504"/>
      <c r="F565" s="2504"/>
      <c r="G565" s="2504"/>
      <c r="H565" s="2504"/>
      <c r="I565" s="2504"/>
      <c r="J565" s="2504"/>
      <c r="K565" s="2504"/>
      <c r="L565" s="2504"/>
      <c r="M565" s="2504"/>
      <c r="N565" s="2504"/>
      <c r="O565" s="2504"/>
      <c r="P565" s="2504"/>
      <c r="Q565" s="2504"/>
      <c r="R565" s="2504"/>
      <c r="S565" s="2504"/>
      <c r="T565" s="2504"/>
      <c r="U565" s="2504"/>
      <c r="V565" s="2504"/>
      <c r="W565" s="2504"/>
      <c r="X565" s="2504"/>
      <c r="Y565" s="2504"/>
      <c r="Z565" s="2504"/>
      <c r="AA565" s="2504"/>
      <c r="AB565" s="2504"/>
      <c r="AC565" s="2504"/>
      <c r="AD565" s="2504"/>
      <c r="AE565" s="2504"/>
      <c r="AF565" s="2504"/>
      <c r="AG565" s="2504"/>
      <c r="AH565" s="2504"/>
      <c r="AI565" s="2504"/>
      <c r="AJ565" s="2504"/>
      <c r="AK565" s="643"/>
      <c r="AL565" s="574"/>
      <c r="AM565" s="604"/>
      <c r="AN565" s="598"/>
    </row>
    <row r="566" spans="1:42" s="551" customFormat="1" ht="12.75" customHeight="1">
      <c r="A566" s="604"/>
      <c r="B566" s="2504"/>
      <c r="C566" s="2504"/>
      <c r="D566" s="2504"/>
      <c r="E566" s="2504"/>
      <c r="F566" s="2504"/>
      <c r="G566" s="2504"/>
      <c r="H566" s="2504"/>
      <c r="I566" s="2504"/>
      <c r="J566" s="2504"/>
      <c r="K566" s="2504"/>
      <c r="L566" s="2504"/>
      <c r="M566" s="2504"/>
      <c r="N566" s="2504"/>
      <c r="O566" s="2504"/>
      <c r="P566" s="2504"/>
      <c r="Q566" s="2504"/>
      <c r="R566" s="2504"/>
      <c r="S566" s="2504"/>
      <c r="T566" s="2504"/>
      <c r="U566" s="2504"/>
      <c r="V566" s="2504"/>
      <c r="W566" s="2504"/>
      <c r="X566" s="2504"/>
      <c r="Y566" s="2504"/>
      <c r="Z566" s="2504"/>
      <c r="AA566" s="2504"/>
      <c r="AB566" s="2504"/>
      <c r="AC566" s="2504"/>
      <c r="AD566" s="2504"/>
      <c r="AE566" s="2504"/>
      <c r="AF566" s="2504"/>
      <c r="AG566" s="2504"/>
      <c r="AH566" s="2504"/>
      <c r="AI566" s="2504"/>
      <c r="AJ566" s="2504"/>
      <c r="AK566" s="643"/>
      <c r="AL566" s="574"/>
      <c r="AM566" s="604"/>
      <c r="AN566" s="598"/>
    </row>
    <row r="567" spans="1:42" s="551" customFormat="1" ht="12.75" customHeight="1">
      <c r="A567" s="604"/>
      <c r="B567" s="2504"/>
      <c r="C567" s="2504"/>
      <c r="D567" s="2504"/>
      <c r="E567" s="2504"/>
      <c r="F567" s="2504"/>
      <c r="G567" s="2504"/>
      <c r="H567" s="2504"/>
      <c r="I567" s="2504"/>
      <c r="J567" s="2504"/>
      <c r="K567" s="2504"/>
      <c r="L567" s="2504"/>
      <c r="M567" s="2504"/>
      <c r="N567" s="2504"/>
      <c r="O567" s="2504"/>
      <c r="P567" s="2504"/>
      <c r="Q567" s="2504"/>
      <c r="R567" s="2504"/>
      <c r="S567" s="2504"/>
      <c r="T567" s="2504"/>
      <c r="U567" s="2504"/>
      <c r="V567" s="2504"/>
      <c r="W567" s="2504"/>
      <c r="X567" s="2504"/>
      <c r="Y567" s="2504"/>
      <c r="Z567" s="2504"/>
      <c r="AA567" s="2504"/>
      <c r="AB567" s="2504"/>
      <c r="AC567" s="2504"/>
      <c r="AD567" s="2504"/>
      <c r="AE567" s="2504"/>
      <c r="AF567" s="2504"/>
      <c r="AG567" s="2504"/>
      <c r="AH567" s="2504"/>
      <c r="AI567" s="2504"/>
      <c r="AJ567" s="2504"/>
      <c r="AK567" s="643"/>
      <c r="AL567" s="574"/>
      <c r="AM567" s="604"/>
      <c r="AN567" s="598"/>
    </row>
    <row r="568" spans="1:42" s="551" customFormat="1" ht="12.75" customHeight="1">
      <c r="A568" s="604"/>
      <c r="B568" s="2504"/>
      <c r="C568" s="2504"/>
      <c r="D568" s="2504"/>
      <c r="E568" s="2504"/>
      <c r="F568" s="2504"/>
      <c r="G568" s="2504"/>
      <c r="H568" s="2504"/>
      <c r="I568" s="2504"/>
      <c r="J568" s="2504"/>
      <c r="K568" s="2504"/>
      <c r="L568" s="2504"/>
      <c r="M568" s="2504"/>
      <c r="N568" s="2504"/>
      <c r="O568" s="2504"/>
      <c r="P568" s="2504"/>
      <c r="Q568" s="2504"/>
      <c r="R568" s="2504"/>
      <c r="S568" s="2504"/>
      <c r="T568" s="2504"/>
      <c r="U568" s="2504"/>
      <c r="V568" s="2504"/>
      <c r="W568" s="2504"/>
      <c r="X568" s="2504"/>
      <c r="Y568" s="2504"/>
      <c r="Z568" s="2504"/>
      <c r="AA568" s="2504"/>
      <c r="AB568" s="2504"/>
      <c r="AC568" s="2504"/>
      <c r="AD568" s="2504"/>
      <c r="AE568" s="2504"/>
      <c r="AF568" s="2504"/>
      <c r="AG568" s="2504"/>
      <c r="AH568" s="2504"/>
      <c r="AI568" s="2504"/>
      <c r="AJ568" s="2504"/>
      <c r="AK568" s="643"/>
      <c r="AL568" s="574"/>
      <c r="AM568" s="604"/>
      <c r="AN568" s="598"/>
    </row>
    <row r="569" spans="1:42" s="551" customFormat="1" ht="12.75" customHeight="1">
      <c r="A569" s="604"/>
      <c r="B569" s="2504"/>
      <c r="C569" s="2504"/>
      <c r="D569" s="2504"/>
      <c r="E569" s="2504"/>
      <c r="F569" s="2504"/>
      <c r="G569" s="2504"/>
      <c r="H569" s="2504"/>
      <c r="I569" s="2504"/>
      <c r="J569" s="2504"/>
      <c r="K569" s="2504"/>
      <c r="L569" s="2504"/>
      <c r="M569" s="2504"/>
      <c r="N569" s="2504"/>
      <c r="O569" s="2504"/>
      <c r="P569" s="2504"/>
      <c r="Q569" s="2504"/>
      <c r="R569" s="2504"/>
      <c r="S569" s="2504"/>
      <c r="T569" s="2504"/>
      <c r="U569" s="2504"/>
      <c r="V569" s="2504"/>
      <c r="W569" s="2504"/>
      <c r="X569" s="2504"/>
      <c r="Y569" s="2504"/>
      <c r="Z569" s="2504"/>
      <c r="AA569" s="2504"/>
      <c r="AB569" s="2504"/>
      <c r="AC569" s="2504"/>
      <c r="AD569" s="2504"/>
      <c r="AE569" s="2504"/>
      <c r="AF569" s="2504"/>
      <c r="AG569" s="2504"/>
      <c r="AH569" s="2504"/>
      <c r="AI569" s="2504"/>
      <c r="AJ569" s="2504"/>
      <c r="AK569" s="643"/>
      <c r="AL569" s="574"/>
      <c r="AM569" s="604"/>
      <c r="AN569" s="598"/>
    </row>
    <row r="570" spans="1:42" s="551" customFormat="1" ht="12.75" customHeight="1">
      <c r="A570" s="604"/>
      <c r="B570" s="2504"/>
      <c r="C570" s="2504"/>
      <c r="D570" s="2504"/>
      <c r="E570" s="2504"/>
      <c r="F570" s="2504"/>
      <c r="G570" s="2504"/>
      <c r="H570" s="2504"/>
      <c r="I570" s="2504"/>
      <c r="J570" s="2504"/>
      <c r="K570" s="2504"/>
      <c r="L570" s="2504"/>
      <c r="M570" s="2504"/>
      <c r="N570" s="2504"/>
      <c r="O570" s="2504"/>
      <c r="P570" s="2504"/>
      <c r="Q570" s="2504"/>
      <c r="R570" s="2504"/>
      <c r="S570" s="2504"/>
      <c r="T570" s="2504"/>
      <c r="U570" s="2504"/>
      <c r="V570" s="2504"/>
      <c r="W570" s="2504"/>
      <c r="X570" s="2504"/>
      <c r="Y570" s="2504"/>
      <c r="Z570" s="2504"/>
      <c r="AA570" s="2504"/>
      <c r="AB570" s="2504"/>
      <c r="AC570" s="2504"/>
      <c r="AD570" s="2504"/>
      <c r="AE570" s="2504"/>
      <c r="AF570" s="2504"/>
      <c r="AG570" s="2504"/>
      <c r="AH570" s="2504"/>
      <c r="AI570" s="2504"/>
      <c r="AJ570" s="2504"/>
      <c r="AK570" s="643"/>
      <c r="AL570" s="574"/>
      <c r="AM570" s="604"/>
      <c r="AN570" s="598"/>
    </row>
    <row r="571" spans="1:42" ht="12.75" customHeight="1">
      <c r="A571" s="604"/>
      <c r="B571" s="2504"/>
      <c r="C571" s="2504"/>
      <c r="D571" s="2504"/>
      <c r="E571" s="2504"/>
      <c r="F571" s="2504"/>
      <c r="G571" s="2504"/>
      <c r="H571" s="2504"/>
      <c r="I571" s="2504"/>
      <c r="J571" s="2504"/>
      <c r="K571" s="2504"/>
      <c r="L571" s="2504"/>
      <c r="M571" s="2504"/>
      <c r="N571" s="2504"/>
      <c r="O571" s="2504"/>
      <c r="P571" s="2504"/>
      <c r="Q571" s="2504"/>
      <c r="R571" s="2504"/>
      <c r="S571" s="2504"/>
      <c r="T571" s="2504"/>
      <c r="U571" s="2504"/>
      <c r="V571" s="2504"/>
      <c r="W571" s="2504"/>
      <c r="X571" s="2504"/>
      <c r="Y571" s="2504"/>
      <c r="Z571" s="2504"/>
      <c r="AA571" s="2504"/>
      <c r="AB571" s="2504"/>
      <c r="AC571" s="2504"/>
      <c r="AD571" s="2504"/>
      <c r="AE571" s="2504"/>
      <c r="AF571" s="2504"/>
      <c r="AG571" s="2504"/>
      <c r="AH571" s="2504"/>
      <c r="AI571" s="2504"/>
      <c r="AJ571" s="2504"/>
      <c r="AK571" s="643"/>
      <c r="AL571" s="574"/>
      <c r="AM571" s="604"/>
    </row>
    <row r="572" spans="1:42" s="551" customFormat="1" ht="12.75" customHeight="1">
      <c r="B572" s="2504"/>
      <c r="C572" s="2504"/>
      <c r="D572" s="2504"/>
      <c r="E572" s="2504"/>
      <c r="F572" s="2504"/>
      <c r="G572" s="2504"/>
      <c r="H572" s="2504"/>
      <c r="I572" s="2504"/>
      <c r="J572" s="2504"/>
      <c r="K572" s="2504"/>
      <c r="L572" s="2504"/>
      <c r="M572" s="2504"/>
      <c r="N572" s="2504"/>
      <c r="O572" s="2504"/>
      <c r="P572" s="2504"/>
      <c r="Q572" s="2504"/>
      <c r="R572" s="2504"/>
      <c r="S572" s="2504"/>
      <c r="T572" s="2504"/>
      <c r="U572" s="2504"/>
      <c r="V572" s="2504"/>
      <c r="W572" s="2504"/>
      <c r="X572" s="2504"/>
      <c r="Y572" s="2504"/>
      <c r="Z572" s="2504"/>
      <c r="AA572" s="2504"/>
      <c r="AB572" s="2504"/>
      <c r="AC572" s="2504"/>
      <c r="AD572" s="2504"/>
      <c r="AE572" s="2504"/>
      <c r="AF572" s="2504"/>
      <c r="AG572" s="2504"/>
      <c r="AH572" s="2504"/>
      <c r="AI572" s="2504"/>
      <c r="AJ572" s="250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9" t="s">
        <v>1338</v>
      </c>
      <c r="AG578" s="2449"/>
      <c r="AH578" s="2449"/>
      <c r="AI578" s="2449"/>
      <c r="AJ578" s="2449"/>
      <c r="AK578" s="2449"/>
      <c r="AL578" s="2449"/>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0</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9" t="s">
        <v>1396</v>
      </c>
      <c r="AG585" s="2449"/>
      <c r="AH585" s="2449"/>
      <c r="AI585" s="2449"/>
      <c r="AJ585" s="2449"/>
      <c r="AK585" s="2449"/>
      <c r="AL585" s="2449"/>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0</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9" t="s">
        <v>1378</v>
      </c>
      <c r="AG591" s="2449"/>
      <c r="AH591" s="2449"/>
      <c r="AI591" s="2449"/>
      <c r="AJ591" s="2449"/>
      <c r="AK591" s="2449"/>
      <c r="AL591" s="2449"/>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9" t="s">
        <v>1399</v>
      </c>
      <c r="AG597" s="2449"/>
      <c r="AH597" s="2449"/>
      <c r="AI597" s="2449"/>
      <c r="AJ597" s="2449"/>
      <c r="AK597" s="2449"/>
      <c r="AL597" s="2449"/>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5" t="s">
        <v>1184</v>
      </c>
      <c r="P601" s="2535"/>
      <c r="Q601" s="2535"/>
      <c r="R601" s="2535"/>
      <c r="S601" s="2535"/>
      <c r="T601" s="2535"/>
      <c r="U601" s="2535"/>
      <c r="V601" s="2535"/>
      <c r="W601" s="2535"/>
      <c r="X601" s="2535"/>
      <c r="Y601" s="2535"/>
      <c r="Z601" s="2535"/>
      <c r="AA601" s="2535"/>
      <c r="AB601" s="2535"/>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9" t="s">
        <v>1352</v>
      </c>
      <c r="AG603" s="2449"/>
      <c r="AH603" s="2449"/>
      <c r="AI603" s="2449"/>
      <c r="AJ603" s="2449"/>
      <c r="AK603" s="2449"/>
      <c r="AL603" s="2449"/>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33" t="s">
        <v>1397</v>
      </c>
      <c r="I606" s="2533"/>
      <c r="J606" s="937"/>
      <c r="K606" s="937"/>
      <c r="L606" s="937"/>
      <c r="N606" s="22"/>
      <c r="O606" s="22"/>
      <c r="P606" s="22"/>
      <c r="Q606" s="1153" t="s">
        <v>2178</v>
      </c>
      <c r="R606" s="2536" t="s">
        <v>2179</v>
      </c>
      <c r="S606" s="2536"/>
      <c r="T606" s="2536"/>
      <c r="U606" s="2536"/>
      <c r="V606" s="2536"/>
      <c r="W606" s="2536"/>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7"/>
      <c r="Z608" s="2537"/>
      <c r="AA608" s="2537"/>
      <c r="AB608" s="2537"/>
      <c r="AC608" s="2537"/>
      <c r="AD608" s="2537"/>
      <c r="AE608" s="2537"/>
      <c r="AF608" s="2537"/>
      <c r="AG608" s="2537"/>
      <c r="AH608" s="2537"/>
      <c r="AI608" s="2537"/>
      <c r="AJ608" s="2537"/>
      <c r="AK608" s="2537"/>
      <c r="AL608" s="2537"/>
      <c r="AM608" s="2538"/>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77" t="s">
        <v>591</v>
      </c>
      <c r="C616" s="2477"/>
      <c r="D616" s="643"/>
      <c r="E616" s="2504" t="s">
        <v>1403</v>
      </c>
      <c r="F616" s="2504"/>
      <c r="G616" s="2504"/>
      <c r="H616" s="2504"/>
      <c r="I616" s="2504"/>
      <c r="J616" s="2504"/>
      <c r="K616" s="2504"/>
      <c r="L616" s="2504"/>
      <c r="M616" s="2504"/>
      <c r="N616" s="2504"/>
      <c r="O616" s="2504"/>
      <c r="P616" s="2504"/>
      <c r="Q616" s="2504"/>
      <c r="R616" s="2504"/>
      <c r="S616" s="2504"/>
      <c r="T616" s="2504"/>
      <c r="U616" s="2504"/>
      <c r="V616" s="2504"/>
      <c r="W616" s="2504"/>
      <c r="X616" s="2504"/>
      <c r="Y616" s="2504"/>
      <c r="Z616" s="2504"/>
      <c r="AA616" s="2504"/>
      <c r="AB616" s="2504"/>
      <c r="AC616" s="2504"/>
      <c r="AD616" s="2504"/>
      <c r="AE616" s="2504"/>
      <c r="AF616" s="2504"/>
      <c r="AG616" s="2504"/>
      <c r="AH616" s="643"/>
      <c r="AI616" s="643"/>
      <c r="AJ616" s="643"/>
      <c r="AK616" s="643"/>
      <c r="AL616" s="643"/>
      <c r="AN616" s="598"/>
    </row>
    <row r="617" spans="1:42" s="551" customFormat="1" ht="12.75" customHeight="1">
      <c r="B617" s="537"/>
      <c r="C617" s="934"/>
      <c r="D617" s="643"/>
      <c r="E617" s="2504"/>
      <c r="F617" s="2504"/>
      <c r="G617" s="2504"/>
      <c r="H617" s="2504"/>
      <c r="I617" s="2504"/>
      <c r="J617" s="2504"/>
      <c r="K617" s="2504"/>
      <c r="L617" s="2504"/>
      <c r="M617" s="2504"/>
      <c r="N617" s="2504"/>
      <c r="O617" s="2504"/>
      <c r="P617" s="2504"/>
      <c r="Q617" s="2504"/>
      <c r="R617" s="2504"/>
      <c r="S617" s="2504"/>
      <c r="T617" s="2504"/>
      <c r="U617" s="2504"/>
      <c r="V617" s="2504"/>
      <c r="W617" s="2504"/>
      <c r="X617" s="2504"/>
      <c r="Y617" s="2504"/>
      <c r="Z617" s="2504"/>
      <c r="AA617" s="2504"/>
      <c r="AB617" s="2504"/>
      <c r="AC617" s="2504"/>
      <c r="AD617" s="2504"/>
      <c r="AE617" s="2504"/>
      <c r="AF617" s="2504"/>
      <c r="AG617" s="2504"/>
      <c r="AH617" s="643"/>
      <c r="AI617" s="643"/>
      <c r="AJ617" s="643"/>
      <c r="AK617" s="643"/>
      <c r="AL617" s="643"/>
      <c r="AN617" s="598"/>
    </row>
    <row r="618" spans="1:42" s="551" customFormat="1" ht="12.75" customHeight="1">
      <c r="B618" s="537"/>
      <c r="C618" s="934"/>
      <c r="D618" s="643"/>
      <c r="E618" s="2504"/>
      <c r="F618" s="2504"/>
      <c r="G618" s="2504"/>
      <c r="H618" s="2504"/>
      <c r="I618" s="2504"/>
      <c r="J618" s="2504"/>
      <c r="K618" s="2504"/>
      <c r="L618" s="2504"/>
      <c r="M618" s="2504"/>
      <c r="N618" s="2504"/>
      <c r="O618" s="2504"/>
      <c r="P618" s="2504"/>
      <c r="Q618" s="2504"/>
      <c r="R618" s="2504"/>
      <c r="S618" s="2504"/>
      <c r="T618" s="2504"/>
      <c r="U618" s="2504"/>
      <c r="V618" s="2504"/>
      <c r="W618" s="2504"/>
      <c r="X618" s="2504"/>
      <c r="Y618" s="2504"/>
      <c r="Z618" s="2504"/>
      <c r="AA618" s="2504"/>
      <c r="AB618" s="2504"/>
      <c r="AC618" s="2504"/>
      <c r="AD618" s="2504"/>
      <c r="AE618" s="2504"/>
      <c r="AF618" s="2504"/>
      <c r="AG618" s="2504"/>
      <c r="AH618" s="643"/>
      <c r="AI618" s="643"/>
      <c r="AJ618" s="643"/>
      <c r="AK618" s="643"/>
      <c r="AL618" s="643"/>
      <c r="AN618" s="598"/>
    </row>
    <row r="619" spans="1:42" s="551" customFormat="1" ht="12.75" customHeight="1">
      <c r="B619" s="537"/>
      <c r="C619" s="934"/>
      <c r="D619" s="643"/>
      <c r="E619" s="2504"/>
      <c r="F619" s="2504"/>
      <c r="G619" s="2504"/>
      <c r="H619" s="2504"/>
      <c r="I619" s="2504"/>
      <c r="J619" s="2504"/>
      <c r="K619" s="2504"/>
      <c r="L619" s="2504"/>
      <c r="M619" s="2504"/>
      <c r="N619" s="2504"/>
      <c r="O619" s="2504"/>
      <c r="P619" s="2504"/>
      <c r="Q619" s="2504"/>
      <c r="R619" s="2504"/>
      <c r="S619" s="2504"/>
      <c r="T619" s="2504"/>
      <c r="U619" s="2504"/>
      <c r="V619" s="2504"/>
      <c r="W619" s="2504"/>
      <c r="X619" s="2504"/>
      <c r="Y619" s="2504"/>
      <c r="Z619" s="2504"/>
      <c r="AA619" s="2504"/>
      <c r="AB619" s="2504"/>
      <c r="AC619" s="2504"/>
      <c r="AD619" s="2504"/>
      <c r="AE619" s="2504"/>
      <c r="AF619" s="2504"/>
      <c r="AG619" s="250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84">
        <f>VLOOKUP($H$606,$AO$586:$AP$591,2,FALSE)+IF(R606=AO594,0,VLOOKUP($I$614,$AO$613:$AP$615,2,FALSE))</f>
        <v>4</v>
      </c>
      <c r="AK621" s="2486"/>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2" t="s">
        <v>1694</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40"/>
      <c r="AF625" s="2449" t="s">
        <v>1352</v>
      </c>
      <c r="AG625" s="2449"/>
      <c r="AH625" s="2449"/>
      <c r="AI625" s="2449"/>
      <c r="AJ625" s="2449"/>
      <c r="AK625" s="2449"/>
      <c r="AL625" s="2449"/>
      <c r="AM625" s="551"/>
      <c r="AN625" s="679"/>
    </row>
    <row r="626" spans="1:42" s="551" customFormat="1" ht="12.75" customHeight="1">
      <c r="A626" s="680"/>
      <c r="B626" s="537"/>
      <c r="C626" s="934"/>
      <c r="D626" s="664"/>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7"/>
      <c r="AF626" s="537"/>
      <c r="AG626" s="537"/>
      <c r="AH626" s="537"/>
      <c r="AI626" s="537"/>
      <c r="AJ626" s="537"/>
      <c r="AK626" s="537"/>
      <c r="AL626" s="537"/>
      <c r="AN626" s="598"/>
    </row>
    <row r="627" spans="1:42" s="551" customFormat="1" ht="12.75" customHeight="1">
      <c r="B627" s="537"/>
      <c r="C627" s="932"/>
      <c r="D627" s="664"/>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7"/>
      <c r="AF627" s="537"/>
      <c r="AG627" s="537"/>
      <c r="AH627" s="537"/>
      <c r="AI627" s="537"/>
      <c r="AJ627" s="537"/>
      <c r="AK627" s="537"/>
      <c r="AL627" s="537"/>
      <c r="AN627" s="598"/>
    </row>
    <row r="628" spans="1:42" s="551" customFormat="1" ht="12.75" customHeight="1">
      <c r="B628" s="537"/>
      <c r="C628" s="932"/>
      <c r="D628" s="664"/>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7"/>
      <c r="AF628" s="537"/>
      <c r="AG628" s="537"/>
      <c r="AH628" s="537"/>
      <c r="AI628" s="537"/>
      <c r="AJ628" s="537"/>
      <c r="AK628" s="537"/>
      <c r="AL628" s="537"/>
      <c r="AN628" s="598"/>
    </row>
    <row r="629" spans="1:42" s="551" customFormat="1" ht="12.75" customHeight="1">
      <c r="B629" s="537"/>
      <c r="C629" s="932"/>
      <c r="D629" s="664"/>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7"/>
      <c r="AF629" s="537"/>
      <c r="AG629" s="537"/>
      <c r="AH629" s="537"/>
      <c r="AI629" s="537"/>
      <c r="AJ629" s="537"/>
      <c r="AK629" s="537"/>
      <c r="AL629" s="537"/>
      <c r="AN629" s="598"/>
    </row>
    <row r="630" spans="1:42" s="551" customFormat="1" ht="12.75" customHeight="1">
      <c r="B630" s="537"/>
      <c r="C630" s="932"/>
      <c r="D630" s="664"/>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7"/>
      <c r="AF630" s="537"/>
      <c r="AG630" s="537"/>
      <c r="AH630" s="537"/>
      <c r="AI630" s="537"/>
      <c r="AJ630" s="537"/>
      <c r="AK630" s="537"/>
      <c r="AL630" s="537"/>
      <c r="AN630" s="598"/>
    </row>
    <row r="631" spans="1:42" s="551" customFormat="1" ht="12.75" customHeight="1">
      <c r="A631" s="638"/>
      <c r="B631" s="617"/>
      <c r="C631" s="941"/>
      <c r="D631" s="664"/>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7"/>
      <c r="AF631" s="617"/>
      <c r="AG631" s="617"/>
      <c r="AH631" s="617"/>
      <c r="AI631" s="617"/>
      <c r="AJ631" s="617"/>
      <c r="AK631" s="537"/>
      <c r="AL631" s="537"/>
      <c r="AN631" s="598"/>
    </row>
    <row r="632" spans="1:42" s="551" customFormat="1" ht="12.75" customHeight="1">
      <c r="B632" s="617"/>
      <c r="C632" s="941"/>
      <c r="D632" s="664"/>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77" t="s">
        <v>591</v>
      </c>
      <c r="Y634" s="2477"/>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9" t="s">
        <v>1408</v>
      </c>
      <c r="AG636" s="2449"/>
      <c r="AH636" s="2449"/>
      <c r="AI636" s="2449"/>
      <c r="AJ636" s="2449"/>
      <c r="AK636" s="2449"/>
      <c r="AL636" s="2449"/>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33" t="s">
        <v>687</v>
      </c>
      <c r="I638" s="2533"/>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84">
        <f>VLOOKUP($H$638,$AO$605:$AP$607,2,FALSE)</f>
        <v>3</v>
      </c>
      <c r="AK640" s="2486"/>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04" t="s">
        <v>2099</v>
      </c>
      <c r="F644" s="2504"/>
      <c r="G644" s="2504"/>
      <c r="H644" s="2504"/>
      <c r="I644" s="2504"/>
      <c r="J644" s="2504"/>
      <c r="K644" s="2504"/>
      <c r="L644" s="2504"/>
      <c r="M644" s="2504"/>
      <c r="N644" s="2504"/>
      <c r="O644" s="2504"/>
      <c r="P644" s="2504"/>
      <c r="Q644" s="2504"/>
      <c r="R644" s="2504"/>
      <c r="S644" s="2504"/>
      <c r="T644" s="2504"/>
      <c r="U644" s="2504"/>
      <c r="V644" s="2504"/>
      <c r="W644" s="2504"/>
      <c r="X644" s="2504"/>
      <c r="Y644" s="2504"/>
      <c r="Z644" s="2504"/>
      <c r="AA644" s="2504"/>
      <c r="AB644" s="2504"/>
      <c r="AC644" s="2504"/>
      <c r="AD644" s="2504"/>
      <c r="AE644" s="537"/>
      <c r="AF644" s="2449" t="s">
        <v>1352</v>
      </c>
      <c r="AG644" s="2449"/>
      <c r="AH644" s="2449"/>
      <c r="AI644" s="2449"/>
      <c r="AJ644" s="2449"/>
      <c r="AK644" s="2449"/>
      <c r="AL644" s="2449"/>
      <c r="AN644" s="598"/>
    </row>
    <row r="645" spans="1:42" s="551" customFormat="1" ht="12.75" customHeight="1">
      <c r="B645" s="537"/>
      <c r="C645" s="537"/>
      <c r="D645" s="664"/>
      <c r="E645" s="2504"/>
      <c r="F645" s="2504"/>
      <c r="G645" s="2504"/>
      <c r="H645" s="2504"/>
      <c r="I645" s="2504"/>
      <c r="J645" s="2504"/>
      <c r="K645" s="2504"/>
      <c r="L645" s="2504"/>
      <c r="M645" s="2504"/>
      <c r="N645" s="2504"/>
      <c r="O645" s="2504"/>
      <c r="P645" s="2504"/>
      <c r="Q645" s="2504"/>
      <c r="R645" s="2504"/>
      <c r="S645" s="2504"/>
      <c r="T645" s="2504"/>
      <c r="U645" s="2504"/>
      <c r="V645" s="2504"/>
      <c r="W645" s="2504"/>
      <c r="X645" s="2504"/>
      <c r="Y645" s="2504"/>
      <c r="Z645" s="2504"/>
      <c r="AA645" s="2504"/>
      <c r="AB645" s="2504"/>
      <c r="AC645" s="2504"/>
      <c r="AD645" s="250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9" t="s">
        <v>1408</v>
      </c>
      <c r="AG647" s="2449"/>
      <c r="AH647" s="2449"/>
      <c r="AI647" s="2449"/>
      <c r="AJ647" s="2449"/>
      <c r="AK647" s="2449"/>
      <c r="AL647" s="2449"/>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33" t="s">
        <v>591</v>
      </c>
      <c r="I650" s="2533"/>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84">
        <f>VLOOKUP(H650,AT605:AU607,2,FALSE)</f>
        <v>0</v>
      </c>
      <c r="AK652" s="2486"/>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04" t="s">
        <v>1418</v>
      </c>
      <c r="F657" s="2504"/>
      <c r="G657" s="2504"/>
      <c r="H657" s="2504"/>
      <c r="I657" s="2504"/>
      <c r="J657" s="2504"/>
      <c r="K657" s="2504"/>
      <c r="L657" s="2504"/>
      <c r="M657" s="2504"/>
      <c r="N657" s="2504"/>
      <c r="O657" s="2504"/>
      <c r="P657" s="2504"/>
      <c r="Q657" s="2504"/>
      <c r="R657" s="2504"/>
      <c r="S657" s="2504"/>
      <c r="T657" s="2504"/>
      <c r="U657" s="2504"/>
      <c r="V657" s="2504"/>
      <c r="W657" s="2504"/>
      <c r="X657" s="2504"/>
      <c r="Y657" s="2504"/>
      <c r="Z657" s="2504"/>
      <c r="AA657" s="2504"/>
      <c r="AB657" s="2504"/>
      <c r="AC657" s="2504"/>
      <c r="AD657" s="537"/>
      <c r="AE657" s="537"/>
      <c r="AF657" s="2449" t="s">
        <v>1378</v>
      </c>
      <c r="AG657" s="2449"/>
      <c r="AH657" s="2449"/>
      <c r="AI657" s="2449"/>
      <c r="AJ657" s="2449"/>
      <c r="AK657" s="2449"/>
      <c r="AL657" s="2449"/>
      <c r="AN657" s="598"/>
    </row>
    <row r="658" spans="1:42" s="551" customFormat="1" ht="12.75" customHeight="1">
      <c r="B658" s="537"/>
      <c r="C658" s="540"/>
      <c r="D658" s="537"/>
      <c r="E658" s="2504"/>
      <c r="F658" s="2504"/>
      <c r="G658" s="2504"/>
      <c r="H658" s="2504"/>
      <c r="I658" s="2504"/>
      <c r="J658" s="2504"/>
      <c r="K658" s="2504"/>
      <c r="L658" s="2504"/>
      <c r="M658" s="2504"/>
      <c r="N658" s="2504"/>
      <c r="O658" s="2504"/>
      <c r="P658" s="2504"/>
      <c r="Q658" s="2504"/>
      <c r="R658" s="2504"/>
      <c r="S658" s="2504"/>
      <c r="T658" s="2504"/>
      <c r="U658" s="2504"/>
      <c r="V658" s="2504"/>
      <c r="W658" s="2504"/>
      <c r="X658" s="2504"/>
      <c r="Y658" s="2504"/>
      <c r="Z658" s="2504"/>
      <c r="AA658" s="2504"/>
      <c r="AB658" s="2504"/>
      <c r="AC658" s="2504"/>
      <c r="AD658" s="537"/>
      <c r="AE658" s="537"/>
      <c r="AF658" s="537"/>
      <c r="AG658" s="537"/>
      <c r="AH658" s="537"/>
      <c r="AI658" s="537"/>
      <c r="AJ658" s="537"/>
      <c r="AK658" s="537"/>
      <c r="AL658" s="537"/>
      <c r="AN658" s="598"/>
    </row>
    <row r="659" spans="1:42" s="551" customFormat="1" ht="12.75" customHeight="1">
      <c r="B659" s="537"/>
      <c r="C659" s="540"/>
      <c r="D659" s="664"/>
      <c r="E659" s="2504"/>
      <c r="F659" s="2504"/>
      <c r="G659" s="2504"/>
      <c r="H659" s="2504"/>
      <c r="I659" s="2504"/>
      <c r="J659" s="2504"/>
      <c r="K659" s="2504"/>
      <c r="L659" s="2504"/>
      <c r="M659" s="2504"/>
      <c r="N659" s="2504"/>
      <c r="O659" s="2504"/>
      <c r="P659" s="2504"/>
      <c r="Q659" s="2504"/>
      <c r="R659" s="2504"/>
      <c r="S659" s="2504"/>
      <c r="T659" s="2504"/>
      <c r="U659" s="2504"/>
      <c r="V659" s="2504"/>
      <c r="W659" s="2504"/>
      <c r="X659" s="2504"/>
      <c r="Y659" s="2504"/>
      <c r="Z659" s="2504"/>
      <c r="AA659" s="2504"/>
      <c r="AB659" s="2504"/>
      <c r="AC659" s="250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04" t="s">
        <v>1419</v>
      </c>
      <c r="F661" s="2504"/>
      <c r="G661" s="2504"/>
      <c r="H661" s="2504"/>
      <c r="I661" s="2504"/>
      <c r="J661" s="2504"/>
      <c r="K661" s="2504"/>
      <c r="L661" s="2504"/>
      <c r="M661" s="2504"/>
      <c r="N661" s="2504"/>
      <c r="O661" s="2504"/>
      <c r="P661" s="2504"/>
      <c r="Q661" s="2504"/>
      <c r="R661" s="2504"/>
      <c r="S661" s="2504"/>
      <c r="T661" s="2504"/>
      <c r="U661" s="2504"/>
      <c r="V661" s="2504"/>
      <c r="W661" s="2504"/>
      <c r="X661" s="2504"/>
      <c r="Y661" s="2504"/>
      <c r="Z661" s="2504"/>
      <c r="AA661" s="2504"/>
      <c r="AB661" s="2504"/>
      <c r="AC661" s="2504"/>
      <c r="AD661" s="537"/>
      <c r="AE661" s="537"/>
      <c r="AF661" s="2449" t="s">
        <v>1399</v>
      </c>
      <c r="AG661" s="2449"/>
      <c r="AH661" s="2449"/>
      <c r="AI661" s="2449"/>
      <c r="AJ661" s="2449"/>
      <c r="AK661" s="2449"/>
      <c r="AL661" s="2449"/>
      <c r="AN661" s="598"/>
    </row>
    <row r="662" spans="1:42" s="551" customFormat="1" ht="12.75" customHeight="1">
      <c r="B662" s="537"/>
      <c r="C662" s="540"/>
      <c r="D662" s="537"/>
      <c r="E662" s="2504"/>
      <c r="F662" s="2504"/>
      <c r="G662" s="2504"/>
      <c r="H662" s="2504"/>
      <c r="I662" s="2504"/>
      <c r="J662" s="2504"/>
      <c r="K662" s="2504"/>
      <c r="L662" s="2504"/>
      <c r="M662" s="2504"/>
      <c r="N662" s="2504"/>
      <c r="O662" s="2504"/>
      <c r="P662" s="2504"/>
      <c r="Q662" s="2504"/>
      <c r="R662" s="2504"/>
      <c r="S662" s="2504"/>
      <c r="T662" s="2504"/>
      <c r="U662" s="2504"/>
      <c r="V662" s="2504"/>
      <c r="W662" s="2504"/>
      <c r="X662" s="2504"/>
      <c r="Y662" s="2504"/>
      <c r="Z662" s="2504"/>
      <c r="AA662" s="2504"/>
      <c r="AB662" s="2504"/>
      <c r="AC662" s="2504"/>
      <c r="AD662" s="537"/>
      <c r="AE662" s="537"/>
      <c r="AF662" s="537"/>
      <c r="AG662" s="537"/>
      <c r="AH662" s="537"/>
      <c r="AI662" s="537"/>
      <c r="AJ662" s="537"/>
      <c r="AK662" s="537"/>
      <c r="AL662" s="537"/>
      <c r="AN662" s="598"/>
    </row>
    <row r="663" spans="1:42" s="551" customFormat="1" ht="15" customHeight="1">
      <c r="B663" s="537"/>
      <c r="C663" s="540"/>
      <c r="D663" s="664"/>
      <c r="E663" s="2504"/>
      <c r="F663" s="2504"/>
      <c r="G663" s="2504"/>
      <c r="H663" s="2504"/>
      <c r="I663" s="2504"/>
      <c r="J663" s="2504"/>
      <c r="K663" s="2504"/>
      <c r="L663" s="2504"/>
      <c r="M663" s="2504"/>
      <c r="N663" s="2504"/>
      <c r="O663" s="2504"/>
      <c r="P663" s="2504"/>
      <c r="Q663" s="2504"/>
      <c r="R663" s="2504"/>
      <c r="S663" s="2504"/>
      <c r="T663" s="2504"/>
      <c r="U663" s="2504"/>
      <c r="V663" s="2504"/>
      <c r="W663" s="2504"/>
      <c r="X663" s="2504"/>
      <c r="Y663" s="2504"/>
      <c r="Z663" s="2504"/>
      <c r="AA663" s="2504"/>
      <c r="AB663" s="2504"/>
      <c r="AC663" s="250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04" t="s">
        <v>1420</v>
      </c>
      <c r="F665" s="2504"/>
      <c r="G665" s="2504"/>
      <c r="H665" s="2504"/>
      <c r="I665" s="2504"/>
      <c r="J665" s="2504"/>
      <c r="K665" s="2504"/>
      <c r="L665" s="2504"/>
      <c r="M665" s="2504"/>
      <c r="N665" s="2504"/>
      <c r="O665" s="2504"/>
      <c r="P665" s="2504"/>
      <c r="Q665" s="2504"/>
      <c r="R665" s="2504"/>
      <c r="S665" s="2504"/>
      <c r="T665" s="2504"/>
      <c r="U665" s="2504"/>
      <c r="V665" s="2504"/>
      <c r="W665" s="2504"/>
      <c r="X665" s="2504"/>
      <c r="Y665" s="2504"/>
      <c r="Z665" s="2504"/>
      <c r="AA665" s="2504"/>
      <c r="AB665" s="2504"/>
      <c r="AC665" s="2504"/>
      <c r="AD665" s="537"/>
      <c r="AE665" s="537"/>
      <c r="AF665" s="2449" t="s">
        <v>1352</v>
      </c>
      <c r="AG665" s="2449"/>
      <c r="AH665" s="2449"/>
      <c r="AI665" s="2449"/>
      <c r="AJ665" s="2449"/>
      <c r="AK665" s="2449"/>
      <c r="AL665" s="2449"/>
      <c r="AN665" s="598"/>
    </row>
    <row r="666" spans="1:42" s="551" customFormat="1" ht="12.75" customHeight="1">
      <c r="B666" s="537"/>
      <c r="C666" s="932"/>
      <c r="D666" s="537"/>
      <c r="E666" s="2504"/>
      <c r="F666" s="2504"/>
      <c r="G666" s="2504"/>
      <c r="H666" s="2504"/>
      <c r="I666" s="2504"/>
      <c r="J666" s="2504"/>
      <c r="K666" s="2504"/>
      <c r="L666" s="2504"/>
      <c r="M666" s="2504"/>
      <c r="N666" s="2504"/>
      <c r="O666" s="2504"/>
      <c r="P666" s="2504"/>
      <c r="Q666" s="2504"/>
      <c r="R666" s="2504"/>
      <c r="S666" s="2504"/>
      <c r="T666" s="2504"/>
      <c r="U666" s="2504"/>
      <c r="V666" s="2504"/>
      <c r="W666" s="2504"/>
      <c r="X666" s="2504"/>
      <c r="Y666" s="2504"/>
      <c r="Z666" s="2504"/>
      <c r="AA666" s="2504"/>
      <c r="AB666" s="2504"/>
      <c r="AC666" s="2504"/>
      <c r="AD666" s="537"/>
      <c r="AE666" s="2449"/>
      <c r="AF666" s="2449"/>
      <c r="AG666" s="2449"/>
      <c r="AH666" s="2449"/>
      <c r="AI666" s="2449"/>
      <c r="AJ666" s="2449"/>
      <c r="AK666" s="2449"/>
      <c r="AL666" s="595"/>
      <c r="AN666" s="598"/>
      <c r="AO666" s="551" t="s">
        <v>591</v>
      </c>
      <c r="AP666" s="674">
        <v>0</v>
      </c>
    </row>
    <row r="667" spans="1:42" s="551" customFormat="1" ht="12.75" customHeight="1">
      <c r="A667" s="680"/>
      <c r="B667" s="537"/>
      <c r="C667" s="537"/>
      <c r="D667" s="664"/>
      <c r="E667" s="2504"/>
      <c r="F667" s="2504"/>
      <c r="G667" s="2504"/>
      <c r="H667" s="2504"/>
      <c r="I667" s="2504"/>
      <c r="J667" s="2504"/>
      <c r="K667" s="2504"/>
      <c r="L667" s="2504"/>
      <c r="M667" s="2504"/>
      <c r="N667" s="2504"/>
      <c r="O667" s="2504"/>
      <c r="P667" s="2504"/>
      <c r="Q667" s="2504"/>
      <c r="R667" s="2504"/>
      <c r="S667" s="2504"/>
      <c r="T667" s="2504"/>
      <c r="U667" s="2504"/>
      <c r="V667" s="2504"/>
      <c r="W667" s="2504"/>
      <c r="X667" s="2504"/>
      <c r="Y667" s="2504"/>
      <c r="Z667" s="2504"/>
      <c r="AA667" s="2504"/>
      <c r="AB667" s="2504"/>
      <c r="AC667" s="2504"/>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504" t="s">
        <v>1421</v>
      </c>
      <c r="F669" s="2504"/>
      <c r="G669" s="2504"/>
      <c r="H669" s="2504"/>
      <c r="I669" s="2504"/>
      <c r="J669" s="2504"/>
      <c r="K669" s="2504"/>
      <c r="L669" s="2504"/>
      <c r="M669" s="2504"/>
      <c r="N669" s="2504"/>
      <c r="O669" s="2504"/>
      <c r="P669" s="2504"/>
      <c r="Q669" s="2504"/>
      <c r="R669" s="2504"/>
      <c r="S669" s="2504"/>
      <c r="T669" s="2504"/>
      <c r="U669" s="2504"/>
      <c r="V669" s="2504"/>
      <c r="W669" s="2504"/>
      <c r="X669" s="2504"/>
      <c r="Y669" s="2504"/>
      <c r="Z669" s="2504"/>
      <c r="AA669" s="2504"/>
      <c r="AB669" s="2504"/>
      <c r="AC669" s="2504"/>
      <c r="AD669" s="537"/>
      <c r="AE669" s="537"/>
      <c r="AF669" s="2449" t="s">
        <v>1399</v>
      </c>
      <c r="AG669" s="2449"/>
      <c r="AH669" s="2449"/>
      <c r="AI669" s="2449"/>
      <c r="AJ669" s="2449"/>
      <c r="AK669" s="2449"/>
      <c r="AL669" s="2449"/>
      <c r="AN669" s="598"/>
    </row>
    <row r="670" spans="1:42" s="551" customFormat="1" ht="12.75" customHeight="1">
      <c r="A670" s="671"/>
      <c r="B670" s="537"/>
      <c r="C670" s="948"/>
      <c r="D670" s="664"/>
      <c r="E670" s="2504"/>
      <c r="F670" s="2504"/>
      <c r="G670" s="2504"/>
      <c r="H670" s="2504"/>
      <c r="I670" s="2504"/>
      <c r="J670" s="2504"/>
      <c r="K670" s="2504"/>
      <c r="L670" s="2504"/>
      <c r="M670" s="2504"/>
      <c r="N670" s="2504"/>
      <c r="O670" s="2504"/>
      <c r="P670" s="2504"/>
      <c r="Q670" s="2504"/>
      <c r="R670" s="2504"/>
      <c r="S670" s="2504"/>
      <c r="T670" s="2504"/>
      <c r="U670" s="2504"/>
      <c r="V670" s="2504"/>
      <c r="W670" s="2504"/>
      <c r="X670" s="2504"/>
      <c r="Y670" s="2504"/>
      <c r="Z670" s="2504"/>
      <c r="AA670" s="2504"/>
      <c r="AB670" s="2504"/>
      <c r="AC670" s="250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04"/>
      <c r="F671" s="2504"/>
      <c r="G671" s="2504"/>
      <c r="H671" s="2504"/>
      <c r="I671" s="2504"/>
      <c r="J671" s="2504"/>
      <c r="K671" s="2504"/>
      <c r="L671" s="2504"/>
      <c r="M671" s="2504"/>
      <c r="N671" s="2504"/>
      <c r="O671" s="2504"/>
      <c r="P671" s="2504"/>
      <c r="Q671" s="2504"/>
      <c r="R671" s="2504"/>
      <c r="S671" s="2504"/>
      <c r="T671" s="2504"/>
      <c r="U671" s="2504"/>
      <c r="V671" s="2504"/>
      <c r="W671" s="2504"/>
      <c r="X671" s="2504"/>
      <c r="Y671" s="2504"/>
      <c r="Z671" s="2504"/>
      <c r="AA671" s="2504"/>
      <c r="AB671" s="2504"/>
      <c r="AC671" s="250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504" t="s">
        <v>1422</v>
      </c>
      <c r="F673" s="2504"/>
      <c r="G673" s="2504"/>
      <c r="H673" s="2504"/>
      <c r="I673" s="2504"/>
      <c r="J673" s="2504"/>
      <c r="K673" s="2504"/>
      <c r="L673" s="2504"/>
      <c r="M673" s="2504"/>
      <c r="N673" s="2504"/>
      <c r="O673" s="2504"/>
      <c r="P673" s="2504"/>
      <c r="Q673" s="2504"/>
      <c r="R673" s="2504"/>
      <c r="S673" s="2504"/>
      <c r="T673" s="2504"/>
      <c r="U673" s="2504"/>
      <c r="V673" s="2504"/>
      <c r="W673" s="2504"/>
      <c r="X673" s="2504"/>
      <c r="Y673" s="2504"/>
      <c r="Z673" s="2504"/>
      <c r="AA673" s="2504"/>
      <c r="AB673" s="2504"/>
      <c r="AC673" s="2504"/>
      <c r="AD673" s="537"/>
      <c r="AE673" s="537"/>
      <c r="AF673" s="2449" t="s">
        <v>1352</v>
      </c>
      <c r="AG673" s="2449"/>
      <c r="AH673" s="2449"/>
      <c r="AI673" s="2449"/>
      <c r="AJ673" s="2449"/>
      <c r="AK673" s="2449"/>
      <c r="AL673" s="2449"/>
      <c r="AM673" s="597"/>
      <c r="AN673" s="598"/>
    </row>
    <row r="674" spans="1:42" s="551" customFormat="1" ht="12.75" customHeight="1">
      <c r="B674" s="537"/>
      <c r="C674" s="932"/>
      <c r="D674" s="66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537"/>
      <c r="AE674" s="537"/>
      <c r="AF674" s="537"/>
      <c r="AG674" s="537"/>
      <c r="AH674" s="537"/>
      <c r="AI674" s="537"/>
      <c r="AJ674" s="537"/>
      <c r="AK674" s="537"/>
      <c r="AL674" s="537"/>
      <c r="AM674" s="597"/>
      <c r="AN674" s="598"/>
    </row>
    <row r="675" spans="1:42" s="551" customFormat="1" ht="12.75" customHeight="1">
      <c r="B675" s="537"/>
      <c r="C675" s="932"/>
      <c r="D675" s="66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504" t="s">
        <v>1423</v>
      </c>
      <c r="F677" s="2504"/>
      <c r="G677" s="2504"/>
      <c r="H677" s="2504"/>
      <c r="I677" s="2504"/>
      <c r="J677" s="2504"/>
      <c r="K677" s="2504"/>
      <c r="L677" s="2504"/>
      <c r="M677" s="2504"/>
      <c r="N677" s="2504"/>
      <c r="O677" s="2504"/>
      <c r="P677" s="2504"/>
      <c r="Q677" s="2504"/>
      <c r="R677" s="2504"/>
      <c r="S677" s="2504"/>
      <c r="T677" s="2504"/>
      <c r="U677" s="2504"/>
      <c r="V677" s="2504"/>
      <c r="W677" s="2504"/>
      <c r="X677" s="2504"/>
      <c r="Y677" s="2504"/>
      <c r="Z677" s="2504"/>
      <c r="AA677" s="2504"/>
      <c r="AB677" s="2504"/>
      <c r="AC677" s="2504"/>
      <c r="AD677" s="537"/>
      <c r="AE677" s="537"/>
      <c r="AF677" s="2449" t="s">
        <v>1408</v>
      </c>
      <c r="AG677" s="2449"/>
      <c r="AH677" s="2449"/>
      <c r="AI677" s="2449"/>
      <c r="AJ677" s="2449"/>
      <c r="AK677" s="2449"/>
      <c r="AL677" s="2449"/>
      <c r="AM677" s="597"/>
      <c r="AN677" s="598"/>
    </row>
    <row r="678" spans="1:42" s="551" customFormat="1" ht="12.75" customHeight="1">
      <c r="A678" s="680"/>
      <c r="B678" s="537"/>
      <c r="C678" s="932"/>
      <c r="D678" s="664"/>
      <c r="E678" s="2504"/>
      <c r="F678" s="2504"/>
      <c r="G678" s="2504"/>
      <c r="H678" s="2504"/>
      <c r="I678" s="2504"/>
      <c r="J678" s="2504"/>
      <c r="K678" s="2504"/>
      <c r="L678" s="2504"/>
      <c r="M678" s="2504"/>
      <c r="N678" s="2504"/>
      <c r="O678" s="2504"/>
      <c r="P678" s="2504"/>
      <c r="Q678" s="2504"/>
      <c r="R678" s="2504"/>
      <c r="S678" s="2504"/>
      <c r="T678" s="2504"/>
      <c r="U678" s="2504"/>
      <c r="V678" s="2504"/>
      <c r="W678" s="2504"/>
      <c r="X678" s="2504"/>
      <c r="Y678" s="2504"/>
      <c r="Z678" s="2504"/>
      <c r="AA678" s="2504"/>
      <c r="AB678" s="2504"/>
      <c r="AC678" s="250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04"/>
      <c r="F679" s="2504"/>
      <c r="G679" s="2504"/>
      <c r="H679" s="2504"/>
      <c r="I679" s="2504"/>
      <c r="J679" s="2504"/>
      <c r="K679" s="2504"/>
      <c r="L679" s="2504"/>
      <c r="M679" s="2504"/>
      <c r="N679" s="2504"/>
      <c r="O679" s="2504"/>
      <c r="P679" s="2504"/>
      <c r="Q679" s="2504"/>
      <c r="R679" s="2504"/>
      <c r="S679" s="2504"/>
      <c r="T679" s="2504"/>
      <c r="U679" s="2504"/>
      <c r="V679" s="2504"/>
      <c r="W679" s="2504"/>
      <c r="X679" s="2504"/>
      <c r="Y679" s="2504"/>
      <c r="Z679" s="2504"/>
      <c r="AA679" s="2504"/>
      <c r="AB679" s="2504"/>
      <c r="AC679" s="250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504" t="s">
        <v>1424</v>
      </c>
      <c r="F681" s="2504"/>
      <c r="G681" s="2504"/>
      <c r="H681" s="2504"/>
      <c r="I681" s="2504"/>
      <c r="J681" s="2504"/>
      <c r="K681" s="2504"/>
      <c r="L681" s="2504"/>
      <c r="M681" s="2504"/>
      <c r="N681" s="2504"/>
      <c r="O681" s="2504"/>
      <c r="P681" s="2504"/>
      <c r="Q681" s="2504"/>
      <c r="R681" s="2504"/>
      <c r="S681" s="2504"/>
      <c r="T681" s="2504"/>
      <c r="U681" s="2504"/>
      <c r="V681" s="2504"/>
      <c r="W681" s="2504"/>
      <c r="X681" s="2504"/>
      <c r="Y681" s="2504"/>
      <c r="Z681" s="2504"/>
      <c r="AA681" s="2504"/>
      <c r="AB681" s="2504"/>
      <c r="AC681" s="2504"/>
      <c r="AD681" s="537"/>
      <c r="AE681" s="537"/>
      <c r="AF681" s="2449" t="s">
        <v>1425</v>
      </c>
      <c r="AG681" s="2449"/>
      <c r="AH681" s="2449"/>
      <c r="AI681" s="2449"/>
      <c r="AJ681" s="2449"/>
      <c r="AK681" s="2449"/>
      <c r="AL681" s="2449"/>
      <c r="AM681" s="597"/>
      <c r="AN681" s="598"/>
      <c r="AO681" s="612" t="s">
        <v>687</v>
      </c>
      <c r="AP681" s="551">
        <v>3</v>
      </c>
    </row>
    <row r="682" spans="1:42" s="551" customFormat="1" ht="12.75" customHeight="1">
      <c r="A682" s="680"/>
      <c r="B682" s="537"/>
      <c r="C682" s="932"/>
      <c r="D682" s="664"/>
      <c r="E682" s="2504"/>
      <c r="F682" s="2504"/>
      <c r="G682" s="2504"/>
      <c r="H682" s="2504"/>
      <c r="I682" s="2504"/>
      <c r="J682" s="2504"/>
      <c r="K682" s="2504"/>
      <c r="L682" s="2504"/>
      <c r="M682" s="2504"/>
      <c r="N682" s="2504"/>
      <c r="O682" s="2504"/>
      <c r="P682" s="2504"/>
      <c r="Q682" s="2504"/>
      <c r="R682" s="2504"/>
      <c r="S682" s="2504"/>
      <c r="T682" s="2504"/>
      <c r="U682" s="2504"/>
      <c r="V682" s="2504"/>
      <c r="W682" s="2504"/>
      <c r="X682" s="2504"/>
      <c r="Y682" s="2504"/>
      <c r="Z682" s="2504"/>
      <c r="AA682" s="2504"/>
      <c r="AB682" s="2504"/>
      <c r="AC682" s="2504"/>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04"/>
      <c r="F683" s="2504"/>
      <c r="G683" s="2504"/>
      <c r="H683" s="2504"/>
      <c r="I683" s="2504"/>
      <c r="J683" s="2504"/>
      <c r="K683" s="2504"/>
      <c r="L683" s="2504"/>
      <c r="M683" s="2504"/>
      <c r="N683" s="2504"/>
      <c r="O683" s="2504"/>
      <c r="P683" s="2504"/>
      <c r="Q683" s="2504"/>
      <c r="R683" s="2504"/>
      <c r="S683" s="2504"/>
      <c r="T683" s="2504"/>
      <c r="U683" s="2504"/>
      <c r="V683" s="2504"/>
      <c r="W683" s="2504"/>
      <c r="X683" s="2504"/>
      <c r="Y683" s="2504"/>
      <c r="Z683" s="2504"/>
      <c r="AA683" s="2504"/>
      <c r="AB683" s="2504"/>
      <c r="AC683" s="250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33" t="s">
        <v>509</v>
      </c>
      <c r="I685" s="2533"/>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84">
        <f>VLOOKUP($H$685,$AO$633:$AP$640,2,FALSE)</f>
        <v>4</v>
      </c>
      <c r="AK687" s="2486"/>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63</v>
      </c>
    </row>
    <row r="691" spans="1:51" s="551" customFormat="1" ht="12.75" customHeight="1">
      <c r="A691" s="680"/>
      <c r="B691" s="537"/>
      <c r="C691" s="949"/>
      <c r="D691" s="664" t="s">
        <v>687</v>
      </c>
      <c r="E691" s="2540" t="s">
        <v>2191</v>
      </c>
      <c r="F691" s="2540"/>
      <c r="G691" s="2540"/>
      <c r="H691" s="2540"/>
      <c r="I691" s="2540"/>
      <c r="J691" s="2540"/>
      <c r="K691" s="2540"/>
      <c r="L691" s="2540"/>
      <c r="M691" s="2540"/>
      <c r="N691" s="2540"/>
      <c r="O691" s="2540"/>
      <c r="P691" s="2540"/>
      <c r="Q691" s="2540"/>
      <c r="R691" s="2540"/>
      <c r="S691" s="2540"/>
      <c r="T691" s="2540"/>
      <c r="U691" s="2540"/>
      <c r="V691" s="2540"/>
      <c r="W691" s="2540"/>
      <c r="X691" s="2540"/>
      <c r="Y691" s="2540"/>
      <c r="Z691" s="2540"/>
      <c r="AA691" s="2540"/>
      <c r="AB691" s="2540"/>
      <c r="AC691" s="537"/>
      <c r="AD691" s="537"/>
      <c r="AE691" s="537"/>
      <c r="AF691" s="2449" t="s">
        <v>1352</v>
      </c>
      <c r="AG691" s="2449"/>
      <c r="AH691" s="2449"/>
      <c r="AI691" s="2449"/>
      <c r="AJ691" s="2449"/>
      <c r="AK691" s="2449"/>
      <c r="AL691" s="2449"/>
      <c r="AN691" s="598"/>
      <c r="AW691" s="22" t="s">
        <v>2186</v>
      </c>
      <c r="AX691" s="551">
        <f>Application!DE753</f>
        <v>16</v>
      </c>
    </row>
    <row r="692" spans="1:51" s="551" customFormat="1" ht="12.75" customHeight="1">
      <c r="A692" s="680"/>
      <c r="B692" s="537"/>
      <c r="C692" s="949"/>
      <c r="D692" s="664"/>
      <c r="E692" s="2540"/>
      <c r="F692" s="2540"/>
      <c r="G692" s="2540"/>
      <c r="H692" s="2540"/>
      <c r="I692" s="2540"/>
      <c r="J692" s="2540"/>
      <c r="K692" s="2540"/>
      <c r="L692" s="2540"/>
      <c r="M692" s="2540"/>
      <c r="N692" s="2540"/>
      <c r="O692" s="2540"/>
      <c r="P692" s="2540"/>
      <c r="Q692" s="2540"/>
      <c r="R692" s="2540"/>
      <c r="S692" s="2540"/>
      <c r="T692" s="2540"/>
      <c r="U692" s="2540"/>
      <c r="V692" s="2540"/>
      <c r="W692" s="2540"/>
      <c r="X692" s="2540"/>
      <c r="Y692" s="2540"/>
      <c r="Z692" s="2540"/>
      <c r="AA692" s="2540"/>
      <c r="AB692" s="254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504" t="s">
        <v>2135</v>
      </c>
      <c r="F694" s="2504"/>
      <c r="G694" s="2504"/>
      <c r="H694" s="2504"/>
      <c r="I694" s="2504"/>
      <c r="J694" s="2504"/>
      <c r="K694" s="2504"/>
      <c r="L694" s="2504"/>
      <c r="M694" s="2504"/>
      <c r="N694" s="2504"/>
      <c r="O694" s="2504"/>
      <c r="P694" s="2504"/>
      <c r="Q694" s="2504"/>
      <c r="R694" s="2504"/>
      <c r="S694" s="2504"/>
      <c r="T694" s="2504"/>
      <c r="U694" s="2504"/>
      <c r="V694" s="2504"/>
      <c r="W694" s="2504"/>
      <c r="X694" s="2504"/>
      <c r="Y694" s="2504"/>
      <c r="Z694" s="2504"/>
      <c r="AA694" s="2504"/>
      <c r="AB694" s="2504"/>
      <c r="AC694" s="537"/>
      <c r="AD694" s="537"/>
      <c r="AE694" s="537"/>
      <c r="AF694" s="2449" t="s">
        <v>1352</v>
      </c>
      <c r="AG694" s="2449"/>
      <c r="AH694" s="2449"/>
      <c r="AI694" s="2449"/>
      <c r="AJ694" s="2449"/>
      <c r="AK694" s="2449"/>
      <c r="AL694" s="2449"/>
      <c r="AN694" s="598"/>
      <c r="AW694" s="22" t="s">
        <v>2189</v>
      </c>
      <c r="AX694" s="551">
        <f>AX691+AX692+AX693</f>
        <v>16</v>
      </c>
    </row>
    <row r="695" spans="1:51" s="551" customFormat="1" ht="12.75" customHeight="1">
      <c r="B695" s="537"/>
      <c r="C695" s="941"/>
      <c r="D695" s="664"/>
      <c r="E695" s="2504"/>
      <c r="F695" s="2504"/>
      <c r="G695" s="2504"/>
      <c r="H695" s="2504"/>
      <c r="I695" s="2504"/>
      <c r="J695" s="2504"/>
      <c r="K695" s="2504"/>
      <c r="L695" s="2504"/>
      <c r="M695" s="2504"/>
      <c r="N695" s="2504"/>
      <c r="O695" s="2504"/>
      <c r="P695" s="2504"/>
      <c r="Q695" s="2504"/>
      <c r="R695" s="2504"/>
      <c r="S695" s="2504"/>
      <c r="T695" s="2504"/>
      <c r="U695" s="2504"/>
      <c r="V695" s="2504"/>
      <c r="W695" s="2504"/>
      <c r="X695" s="2504"/>
      <c r="Y695" s="2504"/>
      <c r="Z695" s="2504"/>
      <c r="AA695" s="2504"/>
      <c r="AB695" s="2504"/>
      <c r="AC695" s="537"/>
      <c r="AD695" s="537"/>
      <c r="AE695" s="617"/>
      <c r="AF695" s="537"/>
      <c r="AG695" s="537"/>
      <c r="AH695" s="537"/>
      <c r="AI695" s="537"/>
      <c r="AJ695" s="537"/>
      <c r="AK695" s="537"/>
      <c r="AL695" s="537"/>
      <c r="AN695" s="598"/>
      <c r="AO695" s="2539" t="b">
        <f>IF(Application!D211="Special Needs",IF(AY695&gt;=0.25,TRUE,FALSE),IF(AX695&gt;=0.25,TRUE,FALSE))</f>
        <v>1</v>
      </c>
      <c r="AP695" s="2539"/>
      <c r="AW695" s="22" t="s">
        <v>2190</v>
      </c>
      <c r="AX695" s="551">
        <f>IFERROR(AX694/AX690,0)</f>
        <v>0.25396825396825395</v>
      </c>
      <c r="AY695" s="551">
        <f>IFERROR(AX694/(AX690-AX689),0)</f>
        <v>0.25396825396825395</v>
      </c>
    </row>
    <row r="696" spans="1:51" s="551" customFormat="1" ht="12.75" customHeight="1">
      <c r="B696" s="537"/>
      <c r="C696" s="941"/>
      <c r="E696" s="2504"/>
      <c r="F696" s="2504"/>
      <c r="G696" s="2504"/>
      <c r="H696" s="2504"/>
      <c r="I696" s="2504"/>
      <c r="J696" s="2504"/>
      <c r="K696" s="2504"/>
      <c r="L696" s="2504"/>
      <c r="M696" s="2504"/>
      <c r="N696" s="2504"/>
      <c r="O696" s="2504"/>
      <c r="P696" s="2504"/>
      <c r="Q696" s="2504"/>
      <c r="R696" s="2504"/>
      <c r="S696" s="2504"/>
      <c r="T696" s="2504"/>
      <c r="U696" s="2504"/>
      <c r="V696" s="2504"/>
      <c r="W696" s="2504"/>
      <c r="X696" s="2504"/>
      <c r="Y696" s="2504"/>
      <c r="Z696" s="2504"/>
      <c r="AA696" s="2504"/>
      <c r="AB696" s="2504"/>
      <c r="AC696" s="537"/>
      <c r="AD696" s="537"/>
      <c r="AE696" s="617"/>
      <c r="AF696" s="617"/>
      <c r="AG696" s="617"/>
      <c r="AH696" s="617"/>
      <c r="AI696" s="617"/>
      <c r="AJ696" s="617"/>
      <c r="AK696" s="617"/>
      <c r="AL696" s="617"/>
      <c r="AN696" s="598"/>
      <c r="AW696" s="14"/>
    </row>
    <row r="697" spans="1:51" s="551" customFormat="1" ht="28.5" customHeight="1">
      <c r="B697" s="537"/>
      <c r="C697" s="941"/>
      <c r="D697" s="537"/>
      <c r="E697" s="2504"/>
      <c r="F697" s="2504"/>
      <c r="G697" s="2504"/>
      <c r="H697" s="2504"/>
      <c r="I697" s="2504"/>
      <c r="J697" s="2504"/>
      <c r="K697" s="2504"/>
      <c r="L697" s="2504"/>
      <c r="M697" s="2504"/>
      <c r="N697" s="2504"/>
      <c r="O697" s="2504"/>
      <c r="P697" s="2504"/>
      <c r="Q697" s="2504"/>
      <c r="R697" s="2504"/>
      <c r="S697" s="2504"/>
      <c r="T697" s="2504"/>
      <c r="U697" s="2504"/>
      <c r="V697" s="2504"/>
      <c r="W697" s="2504"/>
      <c r="X697" s="2504"/>
      <c r="Y697" s="2504"/>
      <c r="Z697" s="2504"/>
      <c r="AA697" s="2504"/>
      <c r="AB697" s="2504"/>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504" t="s">
        <v>2136</v>
      </c>
      <c r="F699" s="2504"/>
      <c r="G699" s="2504"/>
      <c r="H699" s="2504"/>
      <c r="I699" s="2504"/>
      <c r="J699" s="2504"/>
      <c r="K699" s="2504"/>
      <c r="L699" s="2504"/>
      <c r="M699" s="2504"/>
      <c r="N699" s="2504"/>
      <c r="O699" s="2504"/>
      <c r="P699" s="2504"/>
      <c r="Q699" s="2504"/>
      <c r="R699" s="2504"/>
      <c r="S699" s="2504"/>
      <c r="T699" s="2504"/>
      <c r="U699" s="2504"/>
      <c r="V699" s="2504"/>
      <c r="W699" s="2504"/>
      <c r="X699" s="2504"/>
      <c r="Y699" s="2504"/>
      <c r="Z699" s="2504"/>
      <c r="AA699" s="2504"/>
      <c r="AB699" s="2504"/>
      <c r="AC699" s="537"/>
      <c r="AD699" s="537"/>
      <c r="AE699" s="537"/>
      <c r="AF699" s="2449" t="s">
        <v>1408</v>
      </c>
      <c r="AG699" s="2449"/>
      <c r="AH699" s="2449"/>
      <c r="AI699" s="2449"/>
      <c r="AJ699" s="2449"/>
      <c r="AK699" s="2449"/>
      <c r="AL699" s="2449"/>
      <c r="AN699" s="598"/>
      <c r="AO699" s="612" t="s">
        <v>509</v>
      </c>
      <c r="AP699" s="551">
        <v>1</v>
      </c>
    </row>
    <row r="700" spans="1:51" s="551" customFormat="1" ht="12" customHeight="1">
      <c r="B700" s="537"/>
      <c r="C700" s="932"/>
      <c r="E700" s="2504"/>
      <c r="F700" s="2504"/>
      <c r="G700" s="2504"/>
      <c r="H700" s="2504"/>
      <c r="I700" s="2504"/>
      <c r="J700" s="2504"/>
      <c r="K700" s="2504"/>
      <c r="L700" s="2504"/>
      <c r="M700" s="2504"/>
      <c r="N700" s="2504"/>
      <c r="O700" s="2504"/>
      <c r="P700" s="2504"/>
      <c r="Q700" s="2504"/>
      <c r="R700" s="2504"/>
      <c r="S700" s="2504"/>
      <c r="T700" s="2504"/>
      <c r="U700" s="2504"/>
      <c r="V700" s="2504"/>
      <c r="W700" s="2504"/>
      <c r="X700" s="2504"/>
      <c r="Y700" s="2504"/>
      <c r="Z700" s="2504"/>
      <c r="AA700" s="2504"/>
      <c r="AB700" s="2504"/>
      <c r="AC700" s="537"/>
      <c r="AD700" s="537"/>
      <c r="AE700" s="617"/>
      <c r="AF700" s="537"/>
      <c r="AG700" s="537"/>
      <c r="AH700" s="537"/>
      <c r="AI700" s="537"/>
      <c r="AJ700" s="537"/>
      <c r="AK700" s="537"/>
      <c r="AL700" s="537"/>
      <c r="AN700" s="598"/>
    </row>
    <row r="701" spans="1:51" s="551" customFormat="1" ht="12" customHeight="1">
      <c r="B701" s="537"/>
      <c r="C701" s="932"/>
      <c r="D701" s="537"/>
      <c r="E701" s="2504"/>
      <c r="F701" s="2504"/>
      <c r="G701" s="2504"/>
      <c r="H701" s="2504"/>
      <c r="I701" s="2504"/>
      <c r="J701" s="2504"/>
      <c r="K701" s="2504"/>
      <c r="L701" s="2504"/>
      <c r="M701" s="2504"/>
      <c r="N701" s="2504"/>
      <c r="O701" s="2504"/>
      <c r="P701" s="2504"/>
      <c r="Q701" s="2504"/>
      <c r="R701" s="2504"/>
      <c r="S701" s="2504"/>
      <c r="T701" s="2504"/>
      <c r="U701" s="2504"/>
      <c r="V701" s="2504"/>
      <c r="W701" s="2504"/>
      <c r="X701" s="2504"/>
      <c r="Y701" s="2504"/>
      <c r="Z701" s="2504"/>
      <c r="AA701" s="2504"/>
      <c r="AB701" s="2504"/>
      <c r="AC701" s="537"/>
      <c r="AD701" s="537"/>
      <c r="AE701" s="617"/>
      <c r="AF701" s="537"/>
      <c r="AG701" s="537"/>
      <c r="AH701" s="537"/>
      <c r="AI701" s="537"/>
      <c r="AJ701" s="537"/>
      <c r="AK701" s="537"/>
      <c r="AL701" s="537"/>
      <c r="AN701" s="598"/>
    </row>
    <row r="702" spans="1:51" s="551" customFormat="1" ht="12" customHeight="1">
      <c r="B702" s="537"/>
      <c r="C702" s="932"/>
      <c r="D702" s="537"/>
      <c r="E702" s="2504"/>
      <c r="F702" s="2504"/>
      <c r="G702" s="2504"/>
      <c r="H702" s="2504"/>
      <c r="I702" s="2504"/>
      <c r="J702" s="2504"/>
      <c r="K702" s="2504"/>
      <c r="L702" s="2504"/>
      <c r="M702" s="2504"/>
      <c r="N702" s="2504"/>
      <c r="O702" s="2504"/>
      <c r="P702" s="2504"/>
      <c r="Q702" s="2504"/>
      <c r="R702" s="2504"/>
      <c r="S702" s="2504"/>
      <c r="T702" s="2504"/>
      <c r="U702" s="2504"/>
      <c r="V702" s="2504"/>
      <c r="W702" s="2504"/>
      <c r="X702" s="2504"/>
      <c r="Y702" s="2504"/>
      <c r="Z702" s="2504"/>
      <c r="AA702" s="2504"/>
      <c r="AB702" s="2504"/>
      <c r="AC702" s="537"/>
      <c r="AD702" s="537"/>
      <c r="AE702" s="617"/>
      <c r="AF702" s="537"/>
      <c r="AG702" s="537"/>
      <c r="AH702" s="537"/>
      <c r="AI702" s="537"/>
      <c r="AJ702" s="537"/>
      <c r="AK702" s="537"/>
      <c r="AL702" s="537"/>
      <c r="AN702" s="598"/>
    </row>
    <row r="703" spans="1:51" s="571" customFormat="1" ht="13" customHeight="1">
      <c r="A703" s="551"/>
      <c r="B703" s="537"/>
      <c r="C703" s="932"/>
      <c r="D703" s="537"/>
      <c r="E703" s="2504"/>
      <c r="F703" s="2504"/>
      <c r="G703" s="2504"/>
      <c r="H703" s="2504"/>
      <c r="I703" s="2504"/>
      <c r="J703" s="2504"/>
      <c r="K703" s="2504"/>
      <c r="L703" s="2504"/>
      <c r="M703" s="2504"/>
      <c r="N703" s="2504"/>
      <c r="O703" s="2504"/>
      <c r="P703" s="2504"/>
      <c r="Q703" s="2504"/>
      <c r="R703" s="2504"/>
      <c r="S703" s="2504"/>
      <c r="T703" s="2504"/>
      <c r="U703" s="2504"/>
      <c r="V703" s="2504"/>
      <c r="W703" s="2504"/>
      <c r="X703" s="2504"/>
      <c r="Y703" s="2504"/>
      <c r="Z703" s="2504"/>
      <c r="AA703" s="2504"/>
      <c r="AB703" s="2504"/>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04" t="s">
        <v>1693</v>
      </c>
      <c r="F705" s="2504"/>
      <c r="G705" s="2504"/>
      <c r="H705" s="2504"/>
      <c r="I705" s="2504"/>
      <c r="J705" s="2504"/>
      <c r="K705" s="2504"/>
      <c r="L705" s="2504"/>
      <c r="M705" s="2504"/>
      <c r="N705" s="2504"/>
      <c r="O705" s="2504"/>
      <c r="P705" s="2504"/>
      <c r="Q705" s="2504"/>
      <c r="R705" s="2504"/>
      <c r="S705" s="2504"/>
      <c r="T705" s="2504"/>
      <c r="U705" s="2504"/>
      <c r="V705" s="2504"/>
      <c r="W705" s="2504"/>
      <c r="X705" s="2504"/>
      <c r="Y705" s="2504"/>
      <c r="Z705" s="2504"/>
      <c r="AA705" s="2504"/>
      <c r="AB705" s="2504"/>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504"/>
      <c r="F706" s="2504"/>
      <c r="G706" s="2504"/>
      <c r="H706" s="2504"/>
      <c r="I706" s="2504"/>
      <c r="J706" s="2504"/>
      <c r="K706" s="2504"/>
      <c r="L706" s="2504"/>
      <c r="M706" s="2504"/>
      <c r="N706" s="2504"/>
      <c r="O706" s="2504"/>
      <c r="P706" s="2504"/>
      <c r="Q706" s="2504"/>
      <c r="R706" s="2504"/>
      <c r="S706" s="2504"/>
      <c r="T706" s="2504"/>
      <c r="U706" s="2504"/>
      <c r="V706" s="2504"/>
      <c r="W706" s="2504"/>
      <c r="X706" s="2504"/>
      <c r="Y706" s="2504"/>
      <c r="Z706" s="2504"/>
      <c r="AA706" s="2504"/>
      <c r="AB706" s="2504"/>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504"/>
      <c r="F707" s="2504"/>
      <c r="G707" s="2504"/>
      <c r="H707" s="2504"/>
      <c r="I707" s="2504"/>
      <c r="J707" s="2504"/>
      <c r="K707" s="2504"/>
      <c r="L707" s="2504"/>
      <c r="M707" s="2504"/>
      <c r="N707" s="2504"/>
      <c r="O707" s="2504"/>
      <c r="P707" s="2504"/>
      <c r="Q707" s="2504"/>
      <c r="R707" s="2504"/>
      <c r="S707" s="2504"/>
      <c r="T707" s="2504"/>
      <c r="U707" s="2504"/>
      <c r="V707" s="2504"/>
      <c r="W707" s="2504"/>
      <c r="X707" s="2504"/>
      <c r="Y707" s="2504"/>
      <c r="Z707" s="2504"/>
      <c r="AA707" s="2504"/>
      <c r="AB707" s="250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33" t="s">
        <v>509</v>
      </c>
      <c r="I709" s="2533"/>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84">
        <f>VLOOKUP($H$709,$AO$703:$AP$706,2,FALSE)</f>
        <v>3</v>
      </c>
      <c r="AK711" s="2486"/>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41" t="s">
        <v>1695</v>
      </c>
      <c r="F715" s="2541"/>
      <c r="G715" s="2541"/>
      <c r="H715" s="2541"/>
      <c r="I715" s="2541"/>
      <c r="J715" s="2541"/>
      <c r="K715" s="2541"/>
      <c r="L715" s="2541"/>
      <c r="M715" s="2541"/>
      <c r="N715" s="2541"/>
      <c r="O715" s="2541"/>
      <c r="P715" s="2541"/>
      <c r="Q715" s="2541"/>
      <c r="R715" s="2541"/>
      <c r="S715" s="2541"/>
      <c r="T715" s="2541"/>
      <c r="U715" s="2541"/>
      <c r="V715" s="2541"/>
      <c r="W715" s="2541"/>
      <c r="X715" s="2541"/>
      <c r="Y715" s="2541"/>
      <c r="Z715" s="2541"/>
      <c r="AA715" s="2541"/>
      <c r="AB715" s="2541"/>
      <c r="AC715" s="537"/>
      <c r="AD715" s="537"/>
      <c r="AE715" s="537"/>
      <c r="AF715" s="2449" t="s">
        <v>1352</v>
      </c>
      <c r="AG715" s="2449"/>
      <c r="AH715" s="2449"/>
      <c r="AI715" s="2449"/>
      <c r="AJ715" s="2449"/>
      <c r="AK715" s="2449"/>
      <c r="AL715" s="2449"/>
      <c r="AM715" s="551"/>
      <c r="AN715" s="685"/>
      <c r="AP715" s="571" t="s">
        <v>1432</v>
      </c>
    </row>
    <row r="716" spans="1:43" s="571" customFormat="1" ht="11.9" customHeight="1">
      <c r="A716" s="551"/>
      <c r="B716" s="537"/>
      <c r="C716" s="934"/>
      <c r="D716" s="664"/>
      <c r="E716" s="2541"/>
      <c r="F716" s="2541"/>
      <c r="G716" s="2541"/>
      <c r="H716" s="2541"/>
      <c r="I716" s="2541"/>
      <c r="J716" s="2541"/>
      <c r="K716" s="2541"/>
      <c r="L716" s="2541"/>
      <c r="M716" s="2541"/>
      <c r="N716" s="2541"/>
      <c r="O716" s="2541"/>
      <c r="P716" s="2541"/>
      <c r="Q716" s="2541"/>
      <c r="R716" s="2541"/>
      <c r="S716" s="2541"/>
      <c r="T716" s="2541"/>
      <c r="U716" s="2541"/>
      <c r="V716" s="2541"/>
      <c r="W716" s="2541"/>
      <c r="X716" s="2541"/>
      <c r="Y716" s="2541"/>
      <c r="Z716" s="2541"/>
      <c r="AA716" s="2541"/>
      <c r="AB716" s="2541"/>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41"/>
      <c r="F717" s="2541"/>
      <c r="G717" s="2541"/>
      <c r="H717" s="2541"/>
      <c r="I717" s="2541"/>
      <c r="J717" s="2541"/>
      <c r="K717" s="2541"/>
      <c r="L717" s="2541"/>
      <c r="M717" s="2541"/>
      <c r="N717" s="2541"/>
      <c r="O717" s="2541"/>
      <c r="P717" s="2541"/>
      <c r="Q717" s="2541"/>
      <c r="R717" s="2541"/>
      <c r="S717" s="2541"/>
      <c r="T717" s="2541"/>
      <c r="U717" s="2541"/>
      <c r="V717" s="2541"/>
      <c r="W717" s="2541"/>
      <c r="X717" s="2541"/>
      <c r="Y717" s="2541"/>
      <c r="Z717" s="2541"/>
      <c r="AA717" s="2541"/>
      <c r="AB717" s="2541"/>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542" t="s">
        <v>1435</v>
      </c>
      <c r="F719" s="2542"/>
      <c r="G719" s="2542"/>
      <c r="H719" s="2542"/>
      <c r="I719" s="2542"/>
      <c r="J719" s="2542"/>
      <c r="K719" s="2542"/>
      <c r="L719" s="2542"/>
      <c r="M719" s="2542"/>
      <c r="N719" s="2542"/>
      <c r="O719" s="2542"/>
      <c r="P719" s="2542"/>
      <c r="Q719" s="2542"/>
      <c r="R719" s="2542"/>
      <c r="S719" s="2542"/>
      <c r="T719" s="2542"/>
      <c r="U719" s="2542"/>
      <c r="V719" s="2542"/>
      <c r="W719" s="2542"/>
      <c r="X719" s="2542"/>
      <c r="Y719" s="2542"/>
      <c r="Z719" s="2542"/>
      <c r="AA719" s="2542"/>
      <c r="AB719" s="2542"/>
      <c r="AC719" s="537"/>
      <c r="AD719" s="537"/>
      <c r="AE719" s="537"/>
      <c r="AF719" s="2449" t="s">
        <v>1408</v>
      </c>
      <c r="AG719" s="2449"/>
      <c r="AH719" s="2449"/>
      <c r="AI719" s="2449"/>
      <c r="AJ719" s="2449"/>
      <c r="AK719" s="2449"/>
      <c r="AL719" s="2449"/>
      <c r="AM719" s="551"/>
      <c r="AN719" s="686"/>
    </row>
    <row r="720" spans="1:43" s="571" customFormat="1" ht="12.75" customHeight="1">
      <c r="A720" s="551"/>
      <c r="B720" s="537"/>
      <c r="C720" s="934"/>
      <c r="D720" s="537"/>
      <c r="E720" s="2542"/>
      <c r="F720" s="2542"/>
      <c r="G720" s="2542"/>
      <c r="H720" s="2542"/>
      <c r="I720" s="2542"/>
      <c r="J720" s="2542"/>
      <c r="K720" s="2542"/>
      <c r="L720" s="2542"/>
      <c r="M720" s="2542"/>
      <c r="N720" s="2542"/>
      <c r="O720" s="2542"/>
      <c r="P720" s="2542"/>
      <c r="Q720" s="2542"/>
      <c r="R720" s="2542"/>
      <c r="S720" s="2542"/>
      <c r="T720" s="2542"/>
      <c r="U720" s="2542"/>
      <c r="V720" s="2542"/>
      <c r="W720" s="2542"/>
      <c r="X720" s="2542"/>
      <c r="Y720" s="2542"/>
      <c r="Z720" s="2542"/>
      <c r="AA720" s="2542"/>
      <c r="AB720" s="2542"/>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42"/>
      <c r="F721" s="2542"/>
      <c r="G721" s="2542"/>
      <c r="H721" s="2542"/>
      <c r="I721" s="2542"/>
      <c r="J721" s="2542"/>
      <c r="K721" s="2542"/>
      <c r="L721" s="2542"/>
      <c r="M721" s="2542"/>
      <c r="N721" s="2542"/>
      <c r="O721" s="2542"/>
      <c r="P721" s="2542"/>
      <c r="Q721" s="2542"/>
      <c r="R721" s="2542"/>
      <c r="S721" s="2542"/>
      <c r="T721" s="2542"/>
      <c r="U721" s="2542"/>
      <c r="V721" s="2542"/>
      <c r="W721" s="2542"/>
      <c r="X721" s="2542"/>
      <c r="Y721" s="2542"/>
      <c r="Z721" s="2542"/>
      <c r="AA721" s="2542"/>
      <c r="AB721" s="2542"/>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533" t="s">
        <v>591</v>
      </c>
      <c r="I723" s="2533"/>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84">
        <f>VLOOKUP($H$723,$AP$720:$AQ$722,2,FALSE)</f>
        <v>0</v>
      </c>
      <c r="AK725" s="2486"/>
      <c r="AL725" s="596"/>
      <c r="AM725" s="551"/>
      <c r="AN725" s="685"/>
      <c r="AP725" s="2484"/>
      <c r="AQ725" s="2486"/>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504" t="s">
        <v>1696</v>
      </c>
      <c r="F729" s="2504"/>
      <c r="G729" s="2504"/>
      <c r="H729" s="2504"/>
      <c r="I729" s="2504"/>
      <c r="J729" s="2504"/>
      <c r="K729" s="2504"/>
      <c r="L729" s="2504"/>
      <c r="M729" s="2504"/>
      <c r="N729" s="2504"/>
      <c r="O729" s="2504"/>
      <c r="P729" s="2504"/>
      <c r="Q729" s="2504"/>
      <c r="R729" s="2504"/>
      <c r="S729" s="2504"/>
      <c r="T729" s="2504"/>
      <c r="U729" s="2504"/>
      <c r="V729" s="2504"/>
      <c r="W729" s="2504"/>
      <c r="X729" s="2504"/>
      <c r="Y729" s="2504"/>
      <c r="Z729" s="2504"/>
      <c r="AA729" s="2504"/>
      <c r="AB729" s="2504"/>
      <c r="AC729" s="537"/>
      <c r="AD729" s="537"/>
      <c r="AE729" s="537"/>
      <c r="AF729" s="2449" t="s">
        <v>1352</v>
      </c>
      <c r="AG729" s="2449"/>
      <c r="AH729" s="2449"/>
      <c r="AI729" s="2449"/>
      <c r="AJ729" s="2449"/>
      <c r="AK729" s="2449"/>
      <c r="AL729" s="2449"/>
      <c r="AM729" s="551"/>
      <c r="AN729" s="685"/>
      <c r="AT729" s="14"/>
      <c r="AU729" s="14"/>
      <c r="AV729" s="14"/>
      <c r="AW729" s="14"/>
      <c r="AX729" s="14"/>
      <c r="AY729" s="14"/>
      <c r="AZ729" s="14"/>
    </row>
    <row r="730" spans="1:81" s="571" customFormat="1" ht="13">
      <c r="A730" s="551"/>
      <c r="B730" s="537"/>
      <c r="C730" s="934"/>
      <c r="D730" s="664"/>
      <c r="E730" s="2504"/>
      <c r="F730" s="2504"/>
      <c r="G730" s="2504"/>
      <c r="H730" s="2504"/>
      <c r="I730" s="2504"/>
      <c r="J730" s="2504"/>
      <c r="K730" s="2504"/>
      <c r="L730" s="2504"/>
      <c r="M730" s="2504"/>
      <c r="N730" s="2504"/>
      <c r="O730" s="2504"/>
      <c r="P730" s="2504"/>
      <c r="Q730" s="2504"/>
      <c r="R730" s="2504"/>
      <c r="S730" s="2504"/>
      <c r="T730" s="2504"/>
      <c r="U730" s="2504"/>
      <c r="V730" s="2504"/>
      <c r="W730" s="2504"/>
      <c r="X730" s="2504"/>
      <c r="Y730" s="2504"/>
      <c r="Z730" s="2504"/>
      <c r="AA730" s="2504"/>
      <c r="AB730" s="250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04" t="s">
        <v>1439</v>
      </c>
      <c r="F732" s="2504"/>
      <c r="G732" s="2504"/>
      <c r="H732" s="2504"/>
      <c r="I732" s="2504"/>
      <c r="J732" s="2504"/>
      <c r="K732" s="2504"/>
      <c r="L732" s="2504"/>
      <c r="M732" s="2504"/>
      <c r="N732" s="2504"/>
      <c r="O732" s="2504"/>
      <c r="P732" s="2504"/>
      <c r="Q732" s="2504"/>
      <c r="R732" s="2504"/>
      <c r="S732" s="2504"/>
      <c r="T732" s="2504"/>
      <c r="U732" s="2504"/>
      <c r="V732" s="2504"/>
      <c r="W732" s="2504"/>
      <c r="X732" s="2504"/>
      <c r="Y732" s="2504"/>
      <c r="Z732" s="2504"/>
      <c r="AA732" s="2504"/>
      <c r="AB732" s="2504"/>
      <c r="AC732" s="537"/>
      <c r="AD732" s="537"/>
      <c r="AE732" s="537"/>
      <c r="AF732" s="2449" t="s">
        <v>1408</v>
      </c>
      <c r="AG732" s="2449"/>
      <c r="AH732" s="2449"/>
      <c r="AI732" s="2449"/>
      <c r="AJ732" s="2449"/>
      <c r="AK732" s="2449"/>
      <c r="AL732" s="2449"/>
      <c r="AM732" s="551"/>
      <c r="AN732" s="685"/>
      <c r="AT732" s="14"/>
      <c r="AU732" s="14"/>
      <c r="AV732" s="14"/>
      <c r="AW732" s="14"/>
      <c r="AX732" s="14"/>
      <c r="AY732" s="14"/>
      <c r="AZ732" s="14"/>
    </row>
    <row r="733" spans="1:81" s="571" customFormat="1" ht="13">
      <c r="A733" s="551"/>
      <c r="B733" s="537"/>
      <c r="C733" s="934"/>
      <c r="D733" s="537"/>
      <c r="E733" s="2504"/>
      <c r="F733" s="2504"/>
      <c r="G733" s="2504"/>
      <c r="H733" s="2504"/>
      <c r="I733" s="2504"/>
      <c r="J733" s="2504"/>
      <c r="K733" s="2504"/>
      <c r="L733" s="2504"/>
      <c r="M733" s="2504"/>
      <c r="N733" s="2504"/>
      <c r="O733" s="2504"/>
      <c r="P733" s="2504"/>
      <c r="Q733" s="2504"/>
      <c r="R733" s="2504"/>
      <c r="S733" s="2504"/>
      <c r="T733" s="2504"/>
      <c r="U733" s="2504"/>
      <c r="V733" s="2504"/>
      <c r="W733" s="2504"/>
      <c r="X733" s="2504"/>
      <c r="Y733" s="2504"/>
      <c r="Z733" s="2504"/>
      <c r="AA733" s="2504"/>
      <c r="AB733" s="250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33" t="s">
        <v>591</v>
      </c>
      <c r="I735" s="2533"/>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84">
        <f>VLOOKUP($H$735,$AO$666:$AP$668,2,FALSE)</f>
        <v>0</v>
      </c>
      <c r="AK737" s="2486"/>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504" t="s">
        <v>1442</v>
      </c>
      <c r="F741" s="2504"/>
      <c r="G741" s="2504"/>
      <c r="H741" s="2504"/>
      <c r="I741" s="2504"/>
      <c r="J741" s="2504"/>
      <c r="K741" s="2504"/>
      <c r="L741" s="2504"/>
      <c r="M741" s="2504"/>
      <c r="N741" s="2504"/>
      <c r="O741" s="2504"/>
      <c r="P741" s="2504"/>
      <c r="Q741" s="2504"/>
      <c r="R741" s="2504"/>
      <c r="S741" s="2504"/>
      <c r="T741" s="2504"/>
      <c r="U741" s="2504"/>
      <c r="V741" s="2504"/>
      <c r="W741" s="2504"/>
      <c r="X741" s="2504"/>
      <c r="Y741" s="2504"/>
      <c r="Z741" s="2504"/>
      <c r="AA741" s="2504"/>
      <c r="AB741" s="2504"/>
      <c r="AC741" s="537"/>
      <c r="AD741" s="537"/>
      <c r="AE741" s="537"/>
      <c r="AF741" s="2449" t="s">
        <v>1352</v>
      </c>
      <c r="AG741" s="2449"/>
      <c r="AH741" s="2449"/>
      <c r="AI741" s="2449"/>
      <c r="AJ741" s="2449"/>
      <c r="AK741" s="2449"/>
      <c r="AL741" s="2449"/>
      <c r="AM741" s="551"/>
      <c r="AN741" s="685"/>
      <c r="AT741" s="14"/>
      <c r="AU741" s="14"/>
      <c r="AV741" s="14"/>
      <c r="AW741" s="14"/>
      <c r="AX741" s="14"/>
      <c r="AY741" s="14"/>
      <c r="AZ741" s="14"/>
    </row>
    <row r="742" spans="1:81" s="571" customFormat="1" ht="13">
      <c r="A742" s="551"/>
      <c r="B742" s="537"/>
      <c r="C742" s="932"/>
      <c r="D742" s="664"/>
      <c r="E742" s="2504"/>
      <c r="F742" s="2504"/>
      <c r="G742" s="2504"/>
      <c r="H742" s="2504"/>
      <c r="I742" s="2504"/>
      <c r="J742" s="2504"/>
      <c r="K742" s="2504"/>
      <c r="L742" s="2504"/>
      <c r="M742" s="2504"/>
      <c r="N742" s="2504"/>
      <c r="O742" s="2504"/>
      <c r="P742" s="2504"/>
      <c r="Q742" s="2504"/>
      <c r="R742" s="2504"/>
      <c r="S742" s="2504"/>
      <c r="T742" s="2504"/>
      <c r="U742" s="2504"/>
      <c r="V742" s="2504"/>
      <c r="W742" s="2504"/>
      <c r="X742" s="2504"/>
      <c r="Y742" s="2504"/>
      <c r="Z742" s="2504"/>
      <c r="AA742" s="2504"/>
      <c r="AB742" s="250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504"/>
      <c r="F743" s="2504"/>
      <c r="G743" s="2504"/>
      <c r="H743" s="2504"/>
      <c r="I743" s="2504"/>
      <c r="J743" s="2504"/>
      <c r="K743" s="2504"/>
      <c r="L743" s="2504"/>
      <c r="M743" s="2504"/>
      <c r="N743" s="2504"/>
      <c r="O743" s="2504"/>
      <c r="P743" s="2504"/>
      <c r="Q743" s="2504"/>
      <c r="R743" s="2504"/>
      <c r="S743" s="2504"/>
      <c r="T743" s="2504"/>
      <c r="U743" s="2504"/>
      <c r="V743" s="2504"/>
      <c r="W743" s="2504"/>
      <c r="X743" s="2504"/>
      <c r="Y743" s="2504"/>
      <c r="Z743" s="2504"/>
      <c r="AA743" s="2504"/>
      <c r="AB743" s="250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04"/>
      <c r="F744" s="2504"/>
      <c r="G744" s="2504"/>
      <c r="H744" s="2504"/>
      <c r="I744" s="2504"/>
      <c r="J744" s="2504"/>
      <c r="K744" s="2504"/>
      <c r="L744" s="2504"/>
      <c r="M744" s="2504"/>
      <c r="N744" s="2504"/>
      <c r="O744" s="2504"/>
      <c r="P744" s="2504"/>
      <c r="Q744" s="2504"/>
      <c r="R744" s="2504"/>
      <c r="S744" s="2504"/>
      <c r="T744" s="2504"/>
      <c r="U744" s="2504"/>
      <c r="V744" s="2504"/>
      <c r="W744" s="2504"/>
      <c r="X744" s="2504"/>
      <c r="Y744" s="2504"/>
      <c r="Z744" s="2504"/>
      <c r="AA744" s="2504"/>
      <c r="AB744" s="250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504" t="s">
        <v>1443</v>
      </c>
      <c r="F746" s="2504"/>
      <c r="G746" s="2504"/>
      <c r="H746" s="2504"/>
      <c r="I746" s="2504"/>
      <c r="J746" s="2504"/>
      <c r="K746" s="2504"/>
      <c r="L746" s="2504"/>
      <c r="M746" s="2504"/>
      <c r="N746" s="2504"/>
      <c r="O746" s="2504"/>
      <c r="P746" s="2504"/>
      <c r="Q746" s="2504"/>
      <c r="R746" s="2504"/>
      <c r="S746" s="2504"/>
      <c r="T746" s="2504"/>
      <c r="U746" s="2504"/>
      <c r="V746" s="2504"/>
      <c r="W746" s="2504"/>
      <c r="X746" s="2504"/>
      <c r="Y746" s="2504"/>
      <c r="Z746" s="2504"/>
      <c r="AA746" s="2504"/>
      <c r="AB746" s="576"/>
      <c r="AC746" s="537"/>
      <c r="AD746" s="537"/>
      <c r="AE746" s="537"/>
      <c r="AF746" s="2449" t="s">
        <v>1408</v>
      </c>
      <c r="AG746" s="2449"/>
      <c r="AH746" s="2449"/>
      <c r="AI746" s="2449"/>
      <c r="AJ746" s="2449"/>
      <c r="AK746" s="2449"/>
      <c r="AL746" s="2449"/>
      <c r="AM746" s="551"/>
      <c r="AN746" s="685"/>
      <c r="AO746" s="30"/>
      <c r="AP746" s="14"/>
    </row>
    <row r="747" spans="1:81" s="571" customFormat="1" ht="13">
      <c r="A747" s="551"/>
      <c r="B747" s="537"/>
      <c r="C747" s="932"/>
      <c r="D747" s="664"/>
      <c r="E747" s="2504"/>
      <c r="F747" s="2504"/>
      <c r="G747" s="2504"/>
      <c r="H747" s="2504"/>
      <c r="I747" s="2504"/>
      <c r="J747" s="2504"/>
      <c r="K747" s="2504"/>
      <c r="L747" s="2504"/>
      <c r="M747" s="2504"/>
      <c r="N747" s="2504"/>
      <c r="O747" s="2504"/>
      <c r="P747" s="2504"/>
      <c r="Q747" s="2504"/>
      <c r="R747" s="2504"/>
      <c r="S747" s="2504"/>
      <c r="T747" s="2504"/>
      <c r="U747" s="2504"/>
      <c r="V747" s="2504"/>
      <c r="W747" s="2504"/>
      <c r="X747" s="2504"/>
      <c r="Y747" s="2504"/>
      <c r="Z747" s="2504"/>
      <c r="AA747" s="2504"/>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504"/>
      <c r="F748" s="2504"/>
      <c r="G748" s="2504"/>
      <c r="H748" s="2504"/>
      <c r="I748" s="2504"/>
      <c r="J748" s="2504"/>
      <c r="K748" s="2504"/>
      <c r="L748" s="2504"/>
      <c r="M748" s="2504"/>
      <c r="N748" s="2504"/>
      <c r="O748" s="2504"/>
      <c r="P748" s="2504"/>
      <c r="Q748" s="2504"/>
      <c r="R748" s="2504"/>
      <c r="S748" s="2504"/>
      <c r="T748" s="2504"/>
      <c r="U748" s="2504"/>
      <c r="V748" s="2504"/>
      <c r="W748" s="2504"/>
      <c r="X748" s="2504"/>
      <c r="Y748" s="2504"/>
      <c r="Z748" s="2504"/>
      <c r="AA748" s="2504"/>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504"/>
      <c r="F749" s="2504"/>
      <c r="G749" s="2504"/>
      <c r="H749" s="2504"/>
      <c r="I749" s="2504"/>
      <c r="J749" s="2504"/>
      <c r="K749" s="2504"/>
      <c r="L749" s="2504"/>
      <c r="M749" s="2504"/>
      <c r="N749" s="2504"/>
      <c r="O749" s="2504"/>
      <c r="P749" s="2504"/>
      <c r="Q749" s="2504"/>
      <c r="R749" s="2504"/>
      <c r="S749" s="2504"/>
      <c r="T749" s="2504"/>
      <c r="U749" s="2504"/>
      <c r="V749" s="2504"/>
      <c r="W749" s="2504"/>
      <c r="X749" s="2504"/>
      <c r="Y749" s="2504"/>
      <c r="Z749" s="2504"/>
      <c r="AA749" s="2504"/>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33" t="s">
        <v>591</v>
      </c>
      <c r="I751" s="2533"/>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84">
        <f>VLOOKUP($H$751,$AO$680:$AP$682,2,FALSE)</f>
        <v>0</v>
      </c>
      <c r="AK753" s="2486"/>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504" t="s">
        <v>1445</v>
      </c>
      <c r="F757" s="2504"/>
      <c r="G757" s="2504"/>
      <c r="H757" s="2504"/>
      <c r="I757" s="2504"/>
      <c r="J757" s="2504"/>
      <c r="K757" s="2504"/>
      <c r="L757" s="2504"/>
      <c r="M757" s="2504"/>
      <c r="N757" s="2504"/>
      <c r="O757" s="2504"/>
      <c r="P757" s="2504"/>
      <c r="Q757" s="2504"/>
      <c r="R757" s="2504"/>
      <c r="S757" s="2504"/>
      <c r="T757" s="2504"/>
      <c r="U757" s="2504"/>
      <c r="V757" s="2504"/>
      <c r="W757" s="2504"/>
      <c r="X757" s="2504"/>
      <c r="Y757" s="2504"/>
      <c r="Z757" s="2504"/>
      <c r="AA757" s="2504"/>
      <c r="AB757" s="2504"/>
      <c r="AC757" s="537"/>
      <c r="AD757" s="537"/>
      <c r="AE757" s="537"/>
      <c r="AF757" s="2449" t="s">
        <v>1408</v>
      </c>
      <c r="AG757" s="2449"/>
      <c r="AH757" s="2449"/>
      <c r="AI757" s="2449"/>
      <c r="AJ757" s="2449"/>
      <c r="AK757" s="2449"/>
      <c r="AL757" s="2449"/>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504"/>
      <c r="F758" s="2504"/>
      <c r="G758" s="2504"/>
      <c r="H758" s="2504"/>
      <c r="I758" s="2504"/>
      <c r="J758" s="2504"/>
      <c r="K758" s="2504"/>
      <c r="L758" s="2504"/>
      <c r="M758" s="2504"/>
      <c r="N758" s="2504"/>
      <c r="O758" s="2504"/>
      <c r="P758" s="2504"/>
      <c r="Q758" s="2504"/>
      <c r="R758" s="2504"/>
      <c r="S758" s="2504"/>
      <c r="T758" s="2504"/>
      <c r="U758" s="2504"/>
      <c r="V758" s="2504"/>
      <c r="W758" s="2504"/>
      <c r="X758" s="2504"/>
      <c r="Y758" s="2504"/>
      <c r="Z758" s="2504"/>
      <c r="AA758" s="2504"/>
      <c r="AB758" s="250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504" t="s">
        <v>1446</v>
      </c>
      <c r="F760" s="2504"/>
      <c r="G760" s="2504"/>
      <c r="H760" s="2504"/>
      <c r="I760" s="2504"/>
      <c r="J760" s="2504"/>
      <c r="K760" s="2504"/>
      <c r="L760" s="2504"/>
      <c r="M760" s="2504"/>
      <c r="N760" s="2504"/>
      <c r="O760" s="2504"/>
      <c r="P760" s="2504"/>
      <c r="Q760" s="2504"/>
      <c r="R760" s="2504"/>
      <c r="S760" s="2504"/>
      <c r="T760" s="2504"/>
      <c r="U760" s="2504"/>
      <c r="V760" s="2504"/>
      <c r="W760" s="2504"/>
      <c r="X760" s="2504"/>
      <c r="Y760" s="2504"/>
      <c r="Z760" s="2504"/>
      <c r="AA760" s="2504"/>
      <c r="AB760" s="2504"/>
      <c r="AC760" s="537"/>
      <c r="AD760" s="537"/>
      <c r="AE760" s="537"/>
      <c r="AF760" s="2449" t="s">
        <v>1425</v>
      </c>
      <c r="AG760" s="2449"/>
      <c r="AH760" s="2449"/>
      <c r="AI760" s="2449"/>
      <c r="AJ760" s="2449"/>
      <c r="AK760" s="2449"/>
      <c r="AL760" s="2449"/>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04"/>
      <c r="F761" s="2504"/>
      <c r="G761" s="2504"/>
      <c r="H761" s="2504"/>
      <c r="I761" s="2504"/>
      <c r="J761" s="2504"/>
      <c r="K761" s="2504"/>
      <c r="L761" s="2504"/>
      <c r="M761" s="2504"/>
      <c r="N761" s="2504"/>
      <c r="O761" s="2504"/>
      <c r="P761" s="2504"/>
      <c r="Q761" s="2504"/>
      <c r="R761" s="2504"/>
      <c r="S761" s="2504"/>
      <c r="T761" s="2504"/>
      <c r="U761" s="2504"/>
      <c r="V761" s="2504"/>
      <c r="W761" s="2504"/>
      <c r="X761" s="2504"/>
      <c r="Y761" s="2504"/>
      <c r="Z761" s="2504"/>
      <c r="AA761" s="2504"/>
      <c r="AB761" s="250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33" t="s">
        <v>687</v>
      </c>
      <c r="I763" s="2533"/>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84">
        <f>VLOOKUP($H$763,$AO$697:$AP$699,2,FALSE)</f>
        <v>2</v>
      </c>
      <c r="AK765" s="2486"/>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504" t="s">
        <v>1692</v>
      </c>
      <c r="F769" s="2504"/>
      <c r="G769" s="2504"/>
      <c r="H769" s="2504"/>
      <c r="I769" s="2504"/>
      <c r="J769" s="2504"/>
      <c r="K769" s="2504"/>
      <c r="L769" s="2504"/>
      <c r="M769" s="2504"/>
      <c r="N769" s="2504"/>
      <c r="O769" s="2504"/>
      <c r="P769" s="2504"/>
      <c r="Q769" s="2504"/>
      <c r="R769" s="2504"/>
      <c r="S769" s="2504"/>
      <c r="T769" s="2504"/>
      <c r="U769" s="2504"/>
      <c r="V769" s="2504"/>
      <c r="W769" s="2504"/>
      <c r="X769" s="2504"/>
      <c r="Y769" s="2504"/>
      <c r="Z769" s="2504"/>
      <c r="AA769" s="2504"/>
      <c r="AB769" s="2504"/>
      <c r="AC769" s="2504"/>
      <c r="AD769" s="2504"/>
      <c r="AE769" s="537"/>
      <c r="AF769" s="2449" t="s">
        <v>1408</v>
      </c>
      <c r="AG769" s="2449"/>
      <c r="AH769" s="2449"/>
      <c r="AI769" s="2449"/>
      <c r="AJ769" s="2449"/>
      <c r="AK769" s="2449"/>
      <c r="AL769" s="2449"/>
      <c r="AM769" s="614"/>
      <c r="AN769" s="685"/>
      <c r="AO769" s="551" t="s">
        <v>591</v>
      </c>
      <c r="AP769" s="674">
        <v>0</v>
      </c>
    </row>
    <row r="770" spans="1:81" s="571" customFormat="1" ht="13.75" customHeight="1">
      <c r="A770" s="551"/>
      <c r="B770" s="617"/>
      <c r="C770" s="941"/>
      <c r="D770" s="664"/>
      <c r="E770" s="2504"/>
      <c r="F770" s="2504"/>
      <c r="G770" s="2504"/>
      <c r="H770" s="2504"/>
      <c r="I770" s="2504"/>
      <c r="J770" s="2504"/>
      <c r="K770" s="2504"/>
      <c r="L770" s="2504"/>
      <c r="M770" s="2504"/>
      <c r="N770" s="2504"/>
      <c r="O770" s="2504"/>
      <c r="P770" s="2504"/>
      <c r="Q770" s="2504"/>
      <c r="R770" s="2504"/>
      <c r="S770" s="2504"/>
      <c r="T770" s="2504"/>
      <c r="U770" s="2504"/>
      <c r="V770" s="2504"/>
      <c r="W770" s="2504"/>
      <c r="X770" s="2504"/>
      <c r="Y770" s="2504"/>
      <c r="Z770" s="2504"/>
      <c r="AA770" s="2504"/>
      <c r="AB770" s="2504"/>
      <c r="AC770" s="2504"/>
      <c r="AD770" s="2504"/>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504"/>
      <c r="F771" s="2504"/>
      <c r="G771" s="2504"/>
      <c r="H771" s="2504"/>
      <c r="I771" s="2504"/>
      <c r="J771" s="2504"/>
      <c r="K771" s="2504"/>
      <c r="L771" s="2504"/>
      <c r="M771" s="2504"/>
      <c r="N771" s="2504"/>
      <c r="O771" s="2504"/>
      <c r="P771" s="2504"/>
      <c r="Q771" s="2504"/>
      <c r="R771" s="2504"/>
      <c r="S771" s="2504"/>
      <c r="T771" s="2504"/>
      <c r="U771" s="2504"/>
      <c r="V771" s="2504"/>
      <c r="W771" s="2504"/>
      <c r="X771" s="2504"/>
      <c r="Y771" s="2504"/>
      <c r="Z771" s="2504"/>
      <c r="AA771" s="2504"/>
      <c r="AB771" s="2504"/>
      <c r="AC771" s="2504"/>
      <c r="AD771" s="2504"/>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504"/>
      <c r="F772" s="2504"/>
      <c r="G772" s="2504"/>
      <c r="H772" s="2504"/>
      <c r="I772" s="2504"/>
      <c r="J772" s="2504"/>
      <c r="K772" s="2504"/>
      <c r="L772" s="2504"/>
      <c r="M772" s="2504"/>
      <c r="N772" s="2504"/>
      <c r="O772" s="2504"/>
      <c r="P772" s="2504"/>
      <c r="Q772" s="2504"/>
      <c r="R772" s="2504"/>
      <c r="S772" s="2504"/>
      <c r="T772" s="2504"/>
      <c r="U772" s="2504"/>
      <c r="V772" s="2504"/>
      <c r="W772" s="2504"/>
      <c r="X772" s="2504"/>
      <c r="Y772" s="2504"/>
      <c r="Z772" s="2504"/>
      <c r="AA772" s="2504"/>
      <c r="AB772" s="2504"/>
      <c r="AC772" s="2504"/>
      <c r="AD772" s="250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43" t="s">
        <v>1697</v>
      </c>
      <c r="F774" s="2543"/>
      <c r="G774" s="2543"/>
      <c r="H774" s="2543"/>
      <c r="I774" s="2543"/>
      <c r="J774" s="2543"/>
      <c r="K774" s="2543"/>
      <c r="L774" s="2543"/>
      <c r="M774" s="2543"/>
      <c r="N774" s="2543"/>
      <c r="O774" s="2543"/>
      <c r="P774" s="2543"/>
      <c r="Q774" s="2543"/>
      <c r="R774" s="2543"/>
      <c r="S774" s="2543"/>
      <c r="T774" s="2543"/>
      <c r="U774" s="2543"/>
      <c r="V774" s="2543"/>
      <c r="W774" s="2543"/>
      <c r="X774" s="2543"/>
      <c r="Y774" s="2543"/>
      <c r="Z774" s="2543"/>
      <c r="AA774" s="2543"/>
      <c r="AB774" s="2543"/>
      <c r="AC774" s="2543"/>
      <c r="AD774" s="2543"/>
      <c r="AE774" s="537"/>
      <c r="AF774" s="2449" t="s">
        <v>1352</v>
      </c>
      <c r="AG774" s="2449"/>
      <c r="AH774" s="2449"/>
      <c r="AI774" s="2449"/>
      <c r="AJ774" s="2449"/>
      <c r="AK774" s="2449"/>
      <c r="AL774" s="2449"/>
      <c r="AM774" s="614"/>
      <c r="AN774" s="598"/>
    </row>
    <row r="775" spans="1:81" s="551" customFormat="1" ht="12.75" customHeight="1">
      <c r="B775" s="617"/>
      <c r="C775" s="941"/>
      <c r="D775" s="664"/>
      <c r="E775" s="2543"/>
      <c r="F775" s="2543"/>
      <c r="G775" s="2543"/>
      <c r="H775" s="2543"/>
      <c r="I775" s="2543"/>
      <c r="J775" s="2543"/>
      <c r="K775" s="2543"/>
      <c r="L775" s="2543"/>
      <c r="M775" s="2543"/>
      <c r="N775" s="2543"/>
      <c r="O775" s="2543"/>
      <c r="P775" s="2543"/>
      <c r="Q775" s="2543"/>
      <c r="R775" s="2543"/>
      <c r="S775" s="2543"/>
      <c r="T775" s="2543"/>
      <c r="U775" s="2543"/>
      <c r="V775" s="2543"/>
      <c r="W775" s="2543"/>
      <c r="X775" s="2543"/>
      <c r="Y775" s="2543"/>
      <c r="Z775" s="2543"/>
      <c r="AA775" s="2543"/>
      <c r="AB775" s="2543"/>
      <c r="AC775" s="2543"/>
      <c r="AD775" s="2543"/>
      <c r="AE775" s="595"/>
      <c r="AF775" s="595"/>
      <c r="AG775" s="595"/>
      <c r="AH775" s="595"/>
      <c r="AI775" s="595"/>
      <c r="AJ775" s="595"/>
      <c r="AK775" s="595"/>
      <c r="AL775" s="595"/>
      <c r="AM775" s="614"/>
      <c r="AN775" s="598"/>
    </row>
    <row r="776" spans="1:81" s="551" customFormat="1" ht="12.75" customHeight="1">
      <c r="B776" s="617"/>
      <c r="C776" s="941"/>
      <c r="D776" s="664"/>
      <c r="E776" s="2543"/>
      <c r="F776" s="2543"/>
      <c r="G776" s="2543"/>
      <c r="H776" s="2543"/>
      <c r="I776" s="2543"/>
      <c r="J776" s="2543"/>
      <c r="K776" s="2543"/>
      <c r="L776" s="2543"/>
      <c r="M776" s="2543"/>
      <c r="N776" s="2543"/>
      <c r="O776" s="2543"/>
      <c r="P776" s="2543"/>
      <c r="Q776" s="2543"/>
      <c r="R776" s="2543"/>
      <c r="S776" s="2543"/>
      <c r="T776" s="2543"/>
      <c r="U776" s="2543"/>
      <c r="V776" s="2543"/>
      <c r="W776" s="2543"/>
      <c r="X776" s="2543"/>
      <c r="Y776" s="2543"/>
      <c r="Z776" s="2543"/>
      <c r="AA776" s="2543"/>
      <c r="AB776" s="2543"/>
      <c r="AC776" s="2543"/>
      <c r="AD776" s="2543"/>
      <c r="AE776" s="595"/>
      <c r="AF776" s="595"/>
      <c r="AG776" s="595"/>
      <c r="AH776" s="595"/>
      <c r="AI776" s="595"/>
      <c r="AJ776" s="595"/>
      <c r="AK776" s="595"/>
      <c r="AL776" s="595"/>
      <c r="AM776" s="614"/>
      <c r="AN776" s="598"/>
    </row>
    <row r="777" spans="1:81" s="551" customFormat="1" ht="12.75" customHeight="1">
      <c r="B777" s="617"/>
      <c r="C777" s="941"/>
      <c r="D777" s="664"/>
      <c r="E777" s="2543"/>
      <c r="F777" s="2543"/>
      <c r="G777" s="2543"/>
      <c r="H777" s="2543"/>
      <c r="I777" s="2543"/>
      <c r="J777" s="2543"/>
      <c r="K777" s="2543"/>
      <c r="L777" s="2543"/>
      <c r="M777" s="2543"/>
      <c r="N777" s="2543"/>
      <c r="O777" s="2543"/>
      <c r="P777" s="2543"/>
      <c r="Q777" s="2543"/>
      <c r="R777" s="2543"/>
      <c r="S777" s="2543"/>
      <c r="T777" s="2543"/>
      <c r="U777" s="2543"/>
      <c r="V777" s="2543"/>
      <c r="W777" s="2543"/>
      <c r="X777" s="2543"/>
      <c r="Y777" s="2543"/>
      <c r="Z777" s="2543"/>
      <c r="AA777" s="2543"/>
      <c r="AB777" s="2543"/>
      <c r="AC777" s="2543"/>
      <c r="AD777" s="254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33" t="s">
        <v>591</v>
      </c>
      <c r="I779" s="2533"/>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84">
        <f>VLOOKUP($H$779,$AO$769:$AP$771,2,FALSE)</f>
        <v>0</v>
      </c>
      <c r="AK781" s="2486"/>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504" t="s">
        <v>2034</v>
      </c>
      <c r="F785" s="2504"/>
      <c r="G785" s="2504"/>
      <c r="H785" s="2504"/>
      <c r="I785" s="2504"/>
      <c r="J785" s="2504"/>
      <c r="K785" s="2504"/>
      <c r="L785" s="2504"/>
      <c r="M785" s="2504"/>
      <c r="N785" s="2504"/>
      <c r="O785" s="2504"/>
      <c r="P785" s="2504"/>
      <c r="Q785" s="2504"/>
      <c r="R785" s="2504"/>
      <c r="S785" s="2504"/>
      <c r="T785" s="2504"/>
      <c r="U785" s="2504"/>
      <c r="V785" s="2504"/>
      <c r="W785" s="2504"/>
      <c r="X785" s="2504"/>
      <c r="Y785" s="2504"/>
      <c r="Z785" s="2504"/>
      <c r="AA785" s="2504"/>
      <c r="AB785" s="2504"/>
      <c r="AC785" s="2504"/>
      <c r="AD785" s="2504"/>
      <c r="AE785" s="537"/>
      <c r="AF785" s="2449" t="s">
        <v>1352</v>
      </c>
      <c r="AG785" s="2449"/>
      <c r="AH785" s="2449"/>
      <c r="AI785" s="2449"/>
      <c r="AJ785" s="2449"/>
      <c r="AK785" s="2449"/>
      <c r="AL785" s="2449"/>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504"/>
      <c r="F786" s="2504"/>
      <c r="G786" s="2504"/>
      <c r="H786" s="2504"/>
      <c r="I786" s="2504"/>
      <c r="J786" s="2504"/>
      <c r="K786" s="2504"/>
      <c r="L786" s="2504"/>
      <c r="M786" s="2504"/>
      <c r="N786" s="2504"/>
      <c r="O786" s="2504"/>
      <c r="P786" s="2504"/>
      <c r="Q786" s="2504"/>
      <c r="R786" s="2504"/>
      <c r="S786" s="2504"/>
      <c r="T786" s="2504"/>
      <c r="U786" s="2504"/>
      <c r="V786" s="2504"/>
      <c r="W786" s="2504"/>
      <c r="X786" s="2504"/>
      <c r="Y786" s="2504"/>
      <c r="Z786" s="2504"/>
      <c r="AA786" s="2504"/>
      <c r="AB786" s="2504"/>
      <c r="AC786" s="2504"/>
      <c r="AD786" s="250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504"/>
      <c r="F787" s="2504"/>
      <c r="G787" s="2504"/>
      <c r="H787" s="2504"/>
      <c r="I787" s="2504"/>
      <c r="J787" s="2504"/>
      <c r="K787" s="2504"/>
      <c r="L787" s="2504"/>
      <c r="M787" s="2504"/>
      <c r="N787" s="2504"/>
      <c r="O787" s="2504"/>
      <c r="P787" s="2504"/>
      <c r="Q787" s="2504"/>
      <c r="R787" s="2504"/>
      <c r="S787" s="2504"/>
      <c r="T787" s="2504"/>
      <c r="U787" s="2504"/>
      <c r="V787" s="2504"/>
      <c r="W787" s="2504"/>
      <c r="X787" s="2504"/>
      <c r="Y787" s="2504"/>
      <c r="Z787" s="2504"/>
      <c r="AA787" s="2504"/>
      <c r="AB787" s="2504"/>
      <c r="AC787" s="2504"/>
      <c r="AD787" s="250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504"/>
      <c r="F788" s="2504"/>
      <c r="G788" s="2504"/>
      <c r="H788" s="2504"/>
      <c r="I788" s="2504"/>
      <c r="J788" s="2504"/>
      <c r="K788" s="2504"/>
      <c r="L788" s="2504"/>
      <c r="M788" s="2504"/>
      <c r="N788" s="2504"/>
      <c r="O788" s="2504"/>
      <c r="P788" s="2504"/>
      <c r="Q788" s="2504"/>
      <c r="R788" s="2504"/>
      <c r="S788" s="2504"/>
      <c r="T788" s="2504"/>
      <c r="U788" s="2504"/>
      <c r="V788" s="2504"/>
      <c r="W788" s="2504"/>
      <c r="X788" s="2504"/>
      <c r="Y788" s="2504"/>
      <c r="Z788" s="2504"/>
      <c r="AA788" s="2504"/>
      <c r="AB788" s="2504"/>
      <c r="AC788" s="2504"/>
      <c r="AD788" s="250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533" t="s">
        <v>545</v>
      </c>
      <c r="I790" s="2533"/>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84">
        <f>VLOOKUP($H$790,$AO$784:$AP$785,2,FALSE)</f>
        <v>3</v>
      </c>
      <c r="AK792" s="2486"/>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84">
        <f>IF(($AJ$621+$AJ$640+$AJ$652+$AJ$687+$AJ$711+$AJ$725+$AJ$737+$AJ$753+$AJ$765+$AJ$781+AJ792)&gt;10,10,($AJ$621+$AJ$640+$AJ$652+$AJ$687+$AJ$711+$AJ$725+$AJ$737+$AJ$753+$AJ$765+$AJ$781+AJ792))</f>
        <v>10</v>
      </c>
      <c r="AL794" s="2485"/>
      <c r="AM794" s="2486"/>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7" t="s">
        <v>1568</v>
      </c>
      <c r="B797" s="2578"/>
      <c r="C797" s="2578"/>
      <c r="D797" s="2578"/>
      <c r="E797" s="2578"/>
      <c r="F797" s="2578"/>
      <c r="G797" s="2578"/>
      <c r="H797" s="2578"/>
      <c r="I797" s="2578"/>
      <c r="J797" s="2578"/>
      <c r="K797" s="2578"/>
      <c r="L797" s="2578"/>
      <c r="M797" s="2578"/>
      <c r="N797" s="2578"/>
      <c r="O797" s="2578"/>
      <c r="P797" s="2578"/>
      <c r="Q797" s="2578"/>
      <c r="R797" s="2578"/>
      <c r="S797" s="2578"/>
      <c r="T797" s="2578"/>
      <c r="U797" s="2578"/>
      <c r="V797" s="2578"/>
      <c r="W797" s="2578"/>
      <c r="X797" s="2578"/>
      <c r="Y797" s="2578"/>
      <c r="Z797" s="2578"/>
      <c r="AA797" s="2578"/>
      <c r="AB797" s="2578"/>
      <c r="AC797" s="2578"/>
      <c r="AD797" s="2578"/>
      <c r="AE797" s="2578"/>
      <c r="AF797" s="2578"/>
      <c r="AG797" s="2578"/>
      <c r="AH797" s="2578"/>
      <c r="AI797" s="2578"/>
      <c r="AJ797" s="2578"/>
      <c r="AK797" s="2578"/>
      <c r="AL797" s="2578"/>
      <c r="AM797" s="2578"/>
    </row>
    <row r="798" spans="1:81">
      <c r="A798" s="2579"/>
      <c r="B798" s="2579"/>
      <c r="C798" s="2579"/>
      <c r="D798" s="2579"/>
      <c r="E798" s="2579"/>
      <c r="F798" s="2579"/>
      <c r="G798" s="2579"/>
      <c r="H798" s="2579"/>
      <c r="I798" s="2579"/>
      <c r="J798" s="2579"/>
      <c r="K798" s="2579"/>
      <c r="L798" s="2579"/>
      <c r="M798" s="2579"/>
      <c r="N798" s="2579"/>
      <c r="O798" s="2579"/>
      <c r="P798" s="2579"/>
      <c r="Q798" s="2579"/>
      <c r="R798" s="2579"/>
      <c r="S798" s="2579"/>
      <c r="T798" s="2579"/>
      <c r="U798" s="2579"/>
      <c r="V798" s="2579"/>
      <c r="W798" s="2579"/>
      <c r="X798" s="2579"/>
      <c r="Y798" s="2579"/>
      <c r="Z798" s="2579"/>
      <c r="AA798" s="2579"/>
      <c r="AB798" s="2579"/>
      <c r="AC798" s="2579"/>
      <c r="AD798" s="2579"/>
      <c r="AE798" s="2579"/>
      <c r="AF798" s="2579"/>
      <c r="AG798" s="2579"/>
      <c r="AH798" s="2579"/>
      <c r="AI798" s="2579"/>
      <c r="AJ798" s="2579"/>
      <c r="AK798" s="2579"/>
      <c r="AL798" s="2579"/>
      <c r="AM798" s="2579"/>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25"/>
      <c r="B800" s="2525"/>
      <c r="C800" s="2525"/>
      <c r="D800" s="2525"/>
      <c r="E800" s="2525"/>
      <c r="F800" s="2525"/>
      <c r="G800" s="2525"/>
      <c r="H800" s="2525"/>
      <c r="I800" s="2525"/>
      <c r="J800" s="2525"/>
      <c r="K800" s="2525"/>
      <c r="L800" s="2525"/>
      <c r="M800" s="2525"/>
      <c r="N800" s="2525"/>
      <c r="O800" s="2525"/>
      <c r="P800" s="2525"/>
      <c r="Q800" s="2525"/>
      <c r="R800" s="2525"/>
      <c r="S800" s="2525"/>
      <c r="T800" s="2525"/>
      <c r="U800" s="2525"/>
      <c r="V800" s="2525"/>
      <c r="W800" s="2525"/>
      <c r="X800" s="2525"/>
      <c r="Y800" s="2525"/>
      <c r="Z800" s="2525"/>
      <c r="AA800" s="2525"/>
      <c r="AB800" s="2525"/>
      <c r="AC800" s="2525"/>
      <c r="AD800" s="2525"/>
      <c r="AE800" s="2525"/>
      <c r="AF800" s="2525"/>
      <c r="AG800" s="2525"/>
      <c r="AH800" s="2525"/>
      <c r="AI800" s="2525"/>
      <c r="AJ800" s="2525"/>
      <c r="AK800" s="2525"/>
      <c r="AL800" s="2525"/>
      <c r="AM800" s="2525"/>
      <c r="AP800" s="817"/>
      <c r="AQ800" s="817"/>
    </row>
    <row r="801" spans="1:81" ht="13">
      <c r="A801" s="2525"/>
      <c r="B801" s="2525"/>
      <c r="C801" s="2525"/>
      <c r="D801" s="2525"/>
      <c r="E801" s="2525"/>
      <c r="F801" s="2525"/>
      <c r="G801" s="2525"/>
      <c r="H801" s="2525"/>
      <c r="I801" s="2525"/>
      <c r="J801" s="2525"/>
      <c r="K801" s="2525"/>
      <c r="L801" s="2525"/>
      <c r="M801" s="2525"/>
      <c r="N801" s="2525"/>
      <c r="O801" s="2525"/>
      <c r="P801" s="2525"/>
      <c r="Q801" s="2525"/>
      <c r="R801" s="2525"/>
      <c r="S801" s="2525"/>
      <c r="T801" s="2525"/>
      <c r="U801" s="2525"/>
      <c r="V801" s="2525"/>
      <c r="W801" s="2525"/>
      <c r="X801" s="2525"/>
      <c r="Y801" s="2525"/>
      <c r="Z801" s="2525"/>
      <c r="AA801" s="2525"/>
      <c r="AB801" s="2525"/>
      <c r="AC801" s="2525"/>
      <c r="AD801" s="2525"/>
      <c r="AE801" s="2525"/>
      <c r="AF801" s="2525"/>
      <c r="AG801" s="2525"/>
      <c r="AH801" s="2525"/>
      <c r="AI801" s="2525"/>
      <c r="AJ801" s="2525"/>
      <c r="AK801" s="2525"/>
      <c r="AL801" s="2525"/>
      <c r="AM801" s="2525"/>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80" t="s">
        <v>1569</v>
      </c>
      <c r="U802" s="2581"/>
      <c r="V802" s="2581"/>
      <c r="W802" s="2581"/>
      <c r="X802" s="2581"/>
      <c r="Y802" s="2582"/>
      <c r="Z802" s="2580" t="s">
        <v>1570</v>
      </c>
      <c r="AA802" s="2581"/>
      <c r="AB802" s="2581"/>
      <c r="AC802" s="2581"/>
      <c r="AD802" s="2581"/>
      <c r="AE802" s="2582"/>
      <c r="AF802" s="2580" t="s">
        <v>1571</v>
      </c>
      <c r="AG802" s="2581"/>
      <c r="AH802" s="2581"/>
      <c r="AI802" s="2581"/>
      <c r="AJ802" s="2581"/>
      <c r="AK802" s="2582"/>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83"/>
      <c r="U803" s="2584"/>
      <c r="V803" s="2584"/>
      <c r="W803" s="2584"/>
      <c r="X803" s="2584"/>
      <c r="Y803" s="2585"/>
      <c r="Z803" s="2583"/>
      <c r="AA803" s="2584"/>
      <c r="AB803" s="2584"/>
      <c r="AC803" s="2584"/>
      <c r="AD803" s="2584"/>
      <c r="AE803" s="2585"/>
      <c r="AF803" s="2583"/>
      <c r="AG803" s="2584"/>
      <c r="AH803" s="2584"/>
      <c r="AI803" s="2584"/>
      <c r="AJ803" s="2584"/>
      <c r="AK803" s="2585"/>
      <c r="AL803" s="819"/>
      <c r="AM803" s="597"/>
      <c r="AO803" s="817"/>
      <c r="AP803" s="817"/>
      <c r="AQ803" s="817"/>
    </row>
    <row r="804" spans="1:81" ht="13">
      <c r="A804" s="820" t="s">
        <v>757</v>
      </c>
      <c r="B804" s="2560" t="s">
        <v>1304</v>
      </c>
      <c r="C804" s="2560"/>
      <c r="D804" s="2560"/>
      <c r="E804" s="2560"/>
      <c r="F804" s="2560"/>
      <c r="G804" s="2560"/>
      <c r="H804" s="2560"/>
      <c r="I804" s="2560"/>
      <c r="J804" s="2560"/>
      <c r="K804" s="2560"/>
      <c r="L804" s="2560"/>
      <c r="M804" s="2560"/>
      <c r="N804" s="2560"/>
      <c r="O804" s="2560"/>
      <c r="P804" s="2560"/>
      <c r="Q804" s="2560"/>
      <c r="R804" s="2560"/>
      <c r="S804" s="2561"/>
      <c r="T804" s="2562">
        <f>AK62</f>
        <v>0</v>
      </c>
      <c r="U804" s="2563"/>
      <c r="V804" s="2563"/>
      <c r="W804" s="2563"/>
      <c r="X804" s="2563"/>
      <c r="Y804" s="2564"/>
      <c r="Z804" s="2565">
        <v>20</v>
      </c>
      <c r="AA804" s="2563"/>
      <c r="AB804" s="2563"/>
      <c r="AC804" s="2563"/>
      <c r="AD804" s="2563"/>
      <c r="AE804" s="2564"/>
      <c r="AF804" s="2546">
        <f>IF(T804&gt;Z804,Z804,T804)</f>
        <v>0</v>
      </c>
      <c r="AG804" s="2546"/>
      <c r="AH804" s="2546"/>
      <c r="AI804" s="2546"/>
      <c r="AJ804" s="2546"/>
      <c r="AK804" s="2546"/>
      <c r="AL804" s="819"/>
      <c r="AM804" s="597"/>
      <c r="AO804" s="817"/>
      <c r="AP804" s="817"/>
      <c r="AQ804" s="817"/>
    </row>
    <row r="805" spans="1:81" ht="13">
      <c r="A805" s="820" t="s">
        <v>1541</v>
      </c>
      <c r="B805" s="2560" t="s">
        <v>1313</v>
      </c>
      <c r="C805" s="2560"/>
      <c r="D805" s="2560"/>
      <c r="E805" s="2560"/>
      <c r="F805" s="2560"/>
      <c r="G805" s="2560"/>
      <c r="H805" s="2560"/>
      <c r="I805" s="2560"/>
      <c r="J805" s="2560"/>
      <c r="K805" s="2560"/>
      <c r="L805" s="2560"/>
      <c r="M805" s="2560"/>
      <c r="N805" s="2560"/>
      <c r="O805" s="2560"/>
      <c r="P805" s="2560"/>
      <c r="Q805" s="2560"/>
      <c r="R805" s="2560"/>
      <c r="S805" s="2561"/>
      <c r="T805" s="2562">
        <f>AK84</f>
        <v>10</v>
      </c>
      <c r="U805" s="2563"/>
      <c r="V805" s="2563"/>
      <c r="W805" s="2563"/>
      <c r="X805" s="2563"/>
      <c r="Y805" s="2564"/>
      <c r="Z805" s="2565">
        <v>10</v>
      </c>
      <c r="AA805" s="2563"/>
      <c r="AB805" s="2563"/>
      <c r="AC805" s="2563"/>
      <c r="AD805" s="2563"/>
      <c r="AE805" s="2564"/>
      <c r="AF805" s="2546">
        <f>IF(T805&gt;Z805,Z805,T805)</f>
        <v>10</v>
      </c>
      <c r="AG805" s="2546"/>
      <c r="AH805" s="2546"/>
      <c r="AI805" s="2546"/>
      <c r="AJ805" s="2546"/>
      <c r="AK805" s="2546"/>
      <c r="AL805" s="819"/>
      <c r="AM805" s="597"/>
      <c r="AO805" s="817"/>
      <c r="AP805" s="817"/>
      <c r="AQ805" s="817"/>
    </row>
    <row r="806" spans="1:81" ht="13">
      <c r="A806" s="820" t="s">
        <v>1550</v>
      </c>
      <c r="B806" s="2560" t="s">
        <v>1323</v>
      </c>
      <c r="C806" s="2560"/>
      <c r="D806" s="2560"/>
      <c r="E806" s="2560"/>
      <c r="F806" s="2560"/>
      <c r="G806" s="2560"/>
      <c r="H806" s="2560"/>
      <c r="I806" s="2560"/>
      <c r="J806" s="2560"/>
      <c r="K806" s="2560"/>
      <c r="L806" s="2560"/>
      <c r="M806" s="2560"/>
      <c r="N806" s="2560"/>
      <c r="O806" s="2560"/>
      <c r="P806" s="2560"/>
      <c r="Q806" s="2560"/>
      <c r="R806" s="2560"/>
      <c r="S806" s="2561"/>
      <c r="T806" s="2562">
        <f>AK109</f>
        <v>20</v>
      </c>
      <c r="U806" s="2563"/>
      <c r="V806" s="2563"/>
      <c r="W806" s="2563"/>
      <c r="X806" s="2563"/>
      <c r="Y806" s="2564"/>
      <c r="Z806" s="2565">
        <v>20</v>
      </c>
      <c r="AA806" s="2563"/>
      <c r="AB806" s="2563"/>
      <c r="AC806" s="2563"/>
      <c r="AD806" s="2563"/>
      <c r="AE806" s="2564"/>
      <c r="AF806" s="2546">
        <f>IF(T806&gt;Z806,Z806,T806)</f>
        <v>20</v>
      </c>
      <c r="AG806" s="2546"/>
      <c r="AH806" s="2546"/>
      <c r="AI806" s="2546"/>
      <c r="AJ806" s="2546"/>
      <c r="AK806" s="2546"/>
      <c r="AL806" s="819"/>
      <c r="AM806" s="597"/>
      <c r="AO806" s="817"/>
      <c r="AP806" s="817"/>
      <c r="AQ806" s="817"/>
    </row>
    <row r="807" spans="1:81" ht="13">
      <c r="A807" s="820" t="s">
        <v>1572</v>
      </c>
      <c r="B807" s="2560" t="s">
        <v>1333</v>
      </c>
      <c r="C807" s="2560"/>
      <c r="D807" s="2560"/>
      <c r="E807" s="2560"/>
      <c r="F807" s="2560"/>
      <c r="G807" s="2560"/>
      <c r="H807" s="2560"/>
      <c r="I807" s="2560"/>
      <c r="J807" s="2560"/>
      <c r="K807" s="2560"/>
      <c r="L807" s="2560"/>
      <c r="M807" s="2560"/>
      <c r="N807" s="2560"/>
      <c r="O807" s="2560"/>
      <c r="P807" s="2560"/>
      <c r="Q807" s="2560"/>
      <c r="R807" s="2560"/>
      <c r="S807" s="2561"/>
      <c r="T807" s="2562">
        <f>AK143</f>
        <v>10</v>
      </c>
      <c r="U807" s="2563"/>
      <c r="V807" s="2563"/>
      <c r="W807" s="2563"/>
      <c r="X807" s="2563"/>
      <c r="Y807" s="2564"/>
      <c r="Z807" s="2565">
        <v>10</v>
      </c>
      <c r="AA807" s="2563"/>
      <c r="AB807" s="2563"/>
      <c r="AC807" s="2563"/>
      <c r="AD807" s="2563"/>
      <c r="AE807" s="2564"/>
      <c r="AF807" s="2546">
        <f>IF(T807&gt;Z807,Z807,T807)</f>
        <v>10</v>
      </c>
      <c r="AG807" s="2546"/>
      <c r="AH807" s="2546"/>
      <c r="AI807" s="2546"/>
      <c r="AJ807" s="2546"/>
      <c r="AK807" s="2546"/>
      <c r="AL807" s="819"/>
      <c r="AM807" s="597"/>
      <c r="AO807" s="817"/>
      <c r="AP807" s="817"/>
      <c r="AQ807" s="817"/>
    </row>
    <row r="808" spans="1:81" ht="13">
      <c r="A808" s="821" t="s">
        <v>1573</v>
      </c>
      <c r="B808" s="2560" t="s">
        <v>1574</v>
      </c>
      <c r="C808" s="2560"/>
      <c r="D808" s="2560"/>
      <c r="E808" s="2560"/>
      <c r="F808" s="2560"/>
      <c r="G808" s="2560"/>
      <c r="H808" s="2560"/>
      <c r="I808" s="2560"/>
      <c r="J808" s="2560"/>
      <c r="K808" s="2560"/>
      <c r="L808" s="2560"/>
      <c r="M808" s="2560"/>
      <c r="N808" s="2560"/>
      <c r="O808" s="2560"/>
      <c r="P808" s="2560"/>
      <c r="Q808" s="2560"/>
      <c r="R808" s="2560"/>
      <c r="S808" s="2561"/>
      <c r="T808" s="2586">
        <f>SUM(T809:Y810)</f>
        <v>10</v>
      </c>
      <c r="U808" s="2586"/>
      <c r="V808" s="2586"/>
      <c r="W808" s="2586"/>
      <c r="X808" s="2586"/>
      <c r="Y808" s="2586"/>
      <c r="Z808" s="2546">
        <v>10</v>
      </c>
      <c r="AA808" s="2546"/>
      <c r="AB808" s="2546"/>
      <c r="AC808" s="2546"/>
      <c r="AD808" s="2546"/>
      <c r="AE808" s="2546"/>
      <c r="AF808" s="2546">
        <f>IF(T808&gt;Z808,Z808,T808)</f>
        <v>10</v>
      </c>
      <c r="AG808" s="2546"/>
      <c r="AH808" s="2546"/>
      <c r="AI808" s="2546"/>
      <c r="AJ808" s="2546"/>
      <c r="AK808" s="2546"/>
      <c r="AL808" s="819"/>
      <c r="AM808" s="597"/>
    </row>
    <row r="809" spans="1:81" ht="13">
      <c r="A809" s="536"/>
      <c r="B809" s="602"/>
      <c r="C809" s="2587" t="s">
        <v>1575</v>
      </c>
      <c r="D809" s="2587"/>
      <c r="E809" s="2587"/>
      <c r="F809" s="2587"/>
      <c r="G809" s="2587"/>
      <c r="H809" s="2587"/>
      <c r="I809" s="2587"/>
      <c r="J809" s="2587"/>
      <c r="K809" s="2587"/>
      <c r="L809" s="2587"/>
      <c r="M809" s="2587"/>
      <c r="N809" s="2587"/>
      <c r="O809" s="2587"/>
      <c r="P809" s="2587"/>
      <c r="Q809" s="2587"/>
      <c r="R809" s="2587"/>
      <c r="S809" s="2588"/>
      <c r="T809" s="2479">
        <f>AJ166</f>
        <v>7</v>
      </c>
      <c r="U809" s="2479"/>
      <c r="V809" s="2479"/>
      <c r="W809" s="2479"/>
      <c r="X809" s="2479"/>
      <c r="Y809" s="2479"/>
      <c r="Z809" s="2480">
        <v>7</v>
      </c>
      <c r="AA809" s="2480"/>
      <c r="AB809" s="2480"/>
      <c r="AC809" s="2480"/>
      <c r="AD809" s="2480"/>
      <c r="AE809" s="2480"/>
      <c r="AF809" s="2589"/>
      <c r="AG809" s="2589"/>
      <c r="AH809" s="2589"/>
      <c r="AI809" s="2589"/>
      <c r="AJ809" s="2589"/>
      <c r="AK809" s="2589"/>
      <c r="AL809" s="819"/>
      <c r="AM809" s="597"/>
    </row>
    <row r="810" spans="1:81" ht="13">
      <c r="A810" s="601"/>
      <c r="B810" s="602"/>
      <c r="C810" s="2587" t="s">
        <v>1576</v>
      </c>
      <c r="D810" s="2587"/>
      <c r="E810" s="2587"/>
      <c r="F810" s="2587"/>
      <c r="G810" s="2587"/>
      <c r="H810" s="2587"/>
      <c r="I810" s="2587"/>
      <c r="J810" s="2587"/>
      <c r="K810" s="2587"/>
      <c r="L810" s="2587"/>
      <c r="M810" s="2587"/>
      <c r="N810" s="2587"/>
      <c r="O810" s="2587"/>
      <c r="P810" s="2587"/>
      <c r="Q810" s="2587"/>
      <c r="R810" s="2587"/>
      <c r="S810" s="2588"/>
      <c r="T810" s="2479">
        <f>AJ180</f>
        <v>3</v>
      </c>
      <c r="U810" s="2479"/>
      <c r="V810" s="2479"/>
      <c r="W810" s="2479"/>
      <c r="X810" s="2479"/>
      <c r="Y810" s="2479"/>
      <c r="Z810" s="2480">
        <v>3</v>
      </c>
      <c r="AA810" s="2480"/>
      <c r="AB810" s="2480"/>
      <c r="AC810" s="2480"/>
      <c r="AD810" s="2480"/>
      <c r="AE810" s="2480"/>
      <c r="AF810" s="2589"/>
      <c r="AG810" s="2589"/>
      <c r="AH810" s="2589"/>
      <c r="AI810" s="2589"/>
      <c r="AJ810" s="2589"/>
      <c r="AK810" s="2589"/>
      <c r="AL810" s="819"/>
      <c r="AM810" s="597"/>
      <c r="AO810" s="551"/>
    </row>
    <row r="811" spans="1:81" ht="13">
      <c r="A811" s="821" t="s">
        <v>1361</v>
      </c>
      <c r="B811" s="2560" t="s">
        <v>1577</v>
      </c>
      <c r="C811" s="2560"/>
      <c r="D811" s="2560"/>
      <c r="E811" s="2560"/>
      <c r="F811" s="2560"/>
      <c r="G811" s="2560"/>
      <c r="H811" s="2560"/>
      <c r="I811" s="2560"/>
      <c r="J811" s="2560"/>
      <c r="K811" s="2560"/>
      <c r="L811" s="2560"/>
      <c r="M811" s="2560"/>
      <c r="N811" s="2560"/>
      <c r="O811" s="2560"/>
      <c r="P811" s="2560"/>
      <c r="Q811" s="2560"/>
      <c r="R811" s="2560"/>
      <c r="S811" s="2561"/>
      <c r="T811" s="2586">
        <f>AK191</f>
        <v>10</v>
      </c>
      <c r="U811" s="2586"/>
      <c r="V811" s="2586"/>
      <c r="W811" s="2586"/>
      <c r="X811" s="2586"/>
      <c r="Y811" s="2586"/>
      <c r="Z811" s="2546">
        <v>10</v>
      </c>
      <c r="AA811" s="2546"/>
      <c r="AB811" s="2546"/>
      <c r="AC811" s="2546"/>
      <c r="AD811" s="2546"/>
      <c r="AE811" s="2546"/>
      <c r="AF811" s="2546">
        <f>IF(T811&gt;Z811,Z811,T811)</f>
        <v>10</v>
      </c>
      <c r="AG811" s="2546"/>
      <c r="AH811" s="2546"/>
      <c r="AI811" s="2546"/>
      <c r="AJ811" s="2546"/>
      <c r="AK811" s="2546"/>
      <c r="AL811" s="819"/>
      <c r="AM811" s="597"/>
    </row>
    <row r="812" spans="1:81" ht="13">
      <c r="A812" s="820" t="s">
        <v>1370</v>
      </c>
      <c r="B812" s="2560" t="s">
        <v>1371</v>
      </c>
      <c r="C812" s="2560"/>
      <c r="D812" s="2560"/>
      <c r="E812" s="2560"/>
      <c r="F812" s="2560"/>
      <c r="G812" s="2560"/>
      <c r="H812" s="2560"/>
      <c r="I812" s="2560"/>
      <c r="J812" s="2560"/>
      <c r="K812" s="2560"/>
      <c r="L812" s="2560"/>
      <c r="M812" s="2560"/>
      <c r="N812" s="2560"/>
      <c r="O812" s="2560"/>
      <c r="P812" s="2560"/>
      <c r="Q812" s="2560"/>
      <c r="R812" s="2560"/>
      <c r="S812" s="2561"/>
      <c r="T812" s="2586">
        <f>AK273</f>
        <v>8</v>
      </c>
      <c r="U812" s="2586"/>
      <c r="V812" s="2586"/>
      <c r="W812" s="2586"/>
      <c r="X812" s="2586"/>
      <c r="Y812" s="2586"/>
      <c r="Z812" s="2565">
        <v>8</v>
      </c>
      <c r="AA812" s="2563"/>
      <c r="AB812" s="2563"/>
      <c r="AC812" s="2563"/>
      <c r="AD812" s="2563"/>
      <c r="AE812" s="2564"/>
      <c r="AF812" s="2546">
        <f>IF(T812&gt;Z812,Z812,T812)</f>
        <v>8</v>
      </c>
      <c r="AG812" s="2546"/>
      <c r="AH812" s="2546"/>
      <c r="AI812" s="2546"/>
      <c r="AJ812" s="2546"/>
      <c r="AK812" s="2546"/>
      <c r="AL812" s="819"/>
      <c r="AM812" s="597"/>
    </row>
    <row r="813" spans="1:81" s="535" customFormat="1" ht="13" hidden="1">
      <c r="A813" s="821" t="s">
        <v>589</v>
      </c>
      <c r="B813" s="2560" t="s">
        <v>1578</v>
      </c>
      <c r="C813" s="2560"/>
      <c r="D813" s="2560"/>
      <c r="E813" s="2560"/>
      <c r="F813" s="2560"/>
      <c r="G813" s="2560"/>
      <c r="H813" s="2560"/>
      <c r="I813" s="2560"/>
      <c r="J813" s="2560"/>
      <c r="K813" s="2560"/>
      <c r="L813" s="2560"/>
      <c r="M813" s="2560"/>
      <c r="N813" s="2560"/>
      <c r="O813" s="2560"/>
      <c r="P813" s="2560"/>
      <c r="Q813" s="2560"/>
      <c r="R813" s="2560"/>
      <c r="S813" s="2561"/>
      <c r="T813" s="2586">
        <f>IF(AK535&gt;5,5,AK535)</f>
        <v>0</v>
      </c>
      <c r="U813" s="2586"/>
      <c r="V813" s="2586"/>
      <c r="W813" s="2586"/>
      <c r="X813" s="2586"/>
      <c r="Y813" s="2586"/>
      <c r="Z813" s="2546">
        <v>5</v>
      </c>
      <c r="AA813" s="2546"/>
      <c r="AB813" s="2546"/>
      <c r="AC813" s="2546"/>
      <c r="AD813" s="2546"/>
      <c r="AE813" s="2546"/>
      <c r="AF813" s="2546">
        <f>IF(T813&gt;Z813,5,T813)</f>
        <v>0</v>
      </c>
      <c r="AG813" s="2546"/>
      <c r="AH813" s="2546"/>
      <c r="AI813" s="2546"/>
      <c r="AJ813" s="2546"/>
      <c r="AK813" s="2546"/>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560" t="s">
        <v>1579</v>
      </c>
      <c r="C814" s="2560"/>
      <c r="D814" s="2560"/>
      <c r="E814" s="2560"/>
      <c r="F814" s="2560"/>
      <c r="G814" s="2560"/>
      <c r="H814" s="2560"/>
      <c r="I814" s="2560"/>
      <c r="J814" s="2560"/>
      <c r="K814" s="2560"/>
      <c r="L814" s="2560"/>
      <c r="M814" s="2560"/>
      <c r="N814" s="2560"/>
      <c r="O814" s="2560"/>
      <c r="P814" s="2560"/>
      <c r="Q814" s="2560"/>
      <c r="R814" s="2560"/>
      <c r="S814" s="2561"/>
      <c r="T814" s="2586">
        <f>AK285</f>
        <v>10</v>
      </c>
      <c r="U814" s="2586"/>
      <c r="V814" s="2586"/>
      <c r="W814" s="2586"/>
      <c r="X814" s="2586"/>
      <c r="Y814" s="2586"/>
      <c r="Z814" s="2546">
        <v>10</v>
      </c>
      <c r="AA814" s="2546"/>
      <c r="AB814" s="2546"/>
      <c r="AC814" s="2546"/>
      <c r="AD814" s="2546"/>
      <c r="AE814" s="2546"/>
      <c r="AF814" s="2592">
        <f>IF(T814&gt;Z814,Z814,T814)</f>
        <v>10</v>
      </c>
      <c r="AG814" s="2593"/>
      <c r="AH814" s="2593"/>
      <c r="AI814" s="2593"/>
      <c r="AJ814" s="2593"/>
      <c r="AK814" s="259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560" t="s">
        <v>1381</v>
      </c>
      <c r="C815" s="2560"/>
      <c r="D815" s="2560"/>
      <c r="E815" s="2560"/>
      <c r="F815" s="2560"/>
      <c r="G815" s="2560"/>
      <c r="H815" s="2560"/>
      <c r="I815" s="2560"/>
      <c r="J815" s="2560"/>
      <c r="K815" s="2560"/>
      <c r="L815" s="2560"/>
      <c r="M815" s="2560"/>
      <c r="N815" s="2560"/>
      <c r="O815" s="2560"/>
      <c r="P815" s="2560"/>
      <c r="Q815" s="2560"/>
      <c r="R815" s="2560"/>
      <c r="S815" s="2561"/>
      <c r="T815" s="2586">
        <f>AK338</f>
        <v>10</v>
      </c>
      <c r="U815" s="2586"/>
      <c r="V815" s="2586"/>
      <c r="W815" s="2586"/>
      <c r="X815" s="2586"/>
      <c r="Y815" s="2586"/>
      <c r="Z815" s="2592">
        <v>10</v>
      </c>
      <c r="AA815" s="2593"/>
      <c r="AB815" s="2593"/>
      <c r="AC815" s="2593"/>
      <c r="AD815" s="2593"/>
      <c r="AE815" s="2594"/>
      <c r="AF815" s="2592">
        <f>IF(T815&gt;Z815,Z815,T815)</f>
        <v>10</v>
      </c>
      <c r="AG815" s="2593"/>
      <c r="AH815" s="2593"/>
      <c r="AI815" s="2593"/>
      <c r="AJ815" s="2593"/>
      <c r="AK815" s="259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9">
        <f>AK338</f>
        <v>10</v>
      </c>
      <c r="U816" s="2479"/>
      <c r="V816" s="2479"/>
      <c r="W816" s="2479"/>
      <c r="X816" s="2479"/>
      <c r="Y816" s="2479"/>
      <c r="Z816" s="2484">
        <v>20</v>
      </c>
      <c r="AA816" s="2485"/>
      <c r="AB816" s="2485"/>
      <c r="AC816" s="2485"/>
      <c r="AD816" s="2485"/>
      <c r="AE816" s="2486"/>
      <c r="AF816" s="2589"/>
      <c r="AG816" s="2589"/>
      <c r="AH816" s="2589"/>
      <c r="AI816" s="2589"/>
      <c r="AJ816" s="2589"/>
      <c r="AK816" s="258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560" t="s">
        <v>845</v>
      </c>
      <c r="C817" s="2560"/>
      <c r="D817" s="2560"/>
      <c r="E817" s="2560"/>
      <c r="F817" s="2560"/>
      <c r="G817" s="2560"/>
      <c r="H817" s="2560"/>
      <c r="I817" s="2560"/>
      <c r="J817" s="2560"/>
      <c r="K817" s="2560"/>
      <c r="L817" s="2560"/>
      <c r="M817" s="2560"/>
      <c r="N817" s="2560"/>
      <c r="O817" s="2560"/>
      <c r="P817" s="2560"/>
      <c r="Q817" s="2560"/>
      <c r="R817" s="2560"/>
      <c r="S817" s="2561"/>
      <c r="T817" s="2586">
        <f>AK469</f>
        <v>10</v>
      </c>
      <c r="U817" s="2586"/>
      <c r="V817" s="2586"/>
      <c r="W817" s="2586"/>
      <c r="X817" s="2586"/>
      <c r="Y817" s="2586"/>
      <c r="Z817" s="2592">
        <v>10</v>
      </c>
      <c r="AA817" s="2593"/>
      <c r="AB817" s="2593"/>
      <c r="AC817" s="2593"/>
      <c r="AD817" s="2593"/>
      <c r="AE817" s="2594"/>
      <c r="AF817" s="2546">
        <f>IF(T817&gt;Z817,Z817,T817)</f>
        <v>10</v>
      </c>
      <c r="AG817" s="2546"/>
      <c r="AH817" s="2546"/>
      <c r="AI817" s="2546"/>
      <c r="AJ817" s="2546"/>
      <c r="AK817" s="2546"/>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560" t="s">
        <v>1559</v>
      </c>
      <c r="C818" s="2560"/>
      <c r="D818" s="2560"/>
      <c r="E818" s="2560"/>
      <c r="F818" s="2560"/>
      <c r="G818" s="2560"/>
      <c r="H818" s="2560"/>
      <c r="I818" s="2560"/>
      <c r="J818" s="2560"/>
      <c r="K818" s="2560"/>
      <c r="L818" s="2560"/>
      <c r="M818" s="2560"/>
      <c r="N818" s="2560"/>
      <c r="O818" s="2560"/>
      <c r="P818" s="2560"/>
      <c r="Q818" s="2560"/>
      <c r="R818" s="2560"/>
      <c r="S818" s="2561"/>
      <c r="T818" s="2586">
        <f>AK559</f>
        <v>12</v>
      </c>
      <c r="U818" s="2586"/>
      <c r="V818" s="2586"/>
      <c r="W818" s="2586"/>
      <c r="X818" s="2586"/>
      <c r="Y818" s="2586"/>
      <c r="Z818" s="2592">
        <v>12</v>
      </c>
      <c r="AA818" s="2593"/>
      <c r="AB818" s="2593"/>
      <c r="AC818" s="2593"/>
      <c r="AD818" s="2593"/>
      <c r="AE818" s="2594"/>
      <c r="AF818" s="2546">
        <f>IF(T818&gt;Z818,Z818,T818)</f>
        <v>12</v>
      </c>
      <c r="AG818" s="2546"/>
      <c r="AH818" s="2546"/>
      <c r="AI818" s="2546"/>
      <c r="AJ818" s="2546"/>
      <c r="AK818" s="2546"/>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560" t="s">
        <v>1581</v>
      </c>
      <c r="C819" s="2560"/>
      <c r="D819" s="2560"/>
      <c r="E819" s="2560"/>
      <c r="F819" s="2560"/>
      <c r="G819" s="2560"/>
      <c r="H819" s="2560"/>
      <c r="I819" s="2560"/>
      <c r="J819" s="2560"/>
      <c r="K819" s="2560"/>
      <c r="L819" s="2560"/>
      <c r="M819" s="2560"/>
      <c r="N819" s="2560"/>
      <c r="O819" s="2560"/>
      <c r="P819" s="2560"/>
      <c r="Q819" s="2560"/>
      <c r="R819" s="2560"/>
      <c r="S819" s="2561"/>
      <c r="T819" s="2586">
        <f>AK794</f>
        <v>10</v>
      </c>
      <c r="U819" s="2586"/>
      <c r="V819" s="2586"/>
      <c r="W819" s="2586"/>
      <c r="X819" s="2586"/>
      <c r="Y819" s="2586"/>
      <c r="Z819" s="2592">
        <v>10</v>
      </c>
      <c r="AA819" s="2593"/>
      <c r="AB819" s="2593"/>
      <c r="AC819" s="2593"/>
      <c r="AD819" s="2593"/>
      <c r="AE819" s="2594"/>
      <c r="AF819" s="2546">
        <f>IF(T819&gt;Z819,Z819,T819)</f>
        <v>10</v>
      </c>
      <c r="AG819" s="2546"/>
      <c r="AH819" s="2546"/>
      <c r="AI819" s="2546"/>
      <c r="AJ819" s="2546"/>
      <c r="AK819" s="2546"/>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90" t="s">
        <v>1582</v>
      </c>
      <c r="B820" s="2560"/>
      <c r="C820" s="2560"/>
      <c r="D820" s="2560"/>
      <c r="E820" s="2560"/>
      <c r="F820" s="2560"/>
      <c r="G820" s="2560"/>
      <c r="H820" s="2560"/>
      <c r="I820" s="2560"/>
      <c r="J820" s="2560"/>
      <c r="K820" s="2560"/>
      <c r="L820" s="2560"/>
      <c r="M820" s="2560"/>
      <c r="N820" s="2560"/>
      <c r="O820" s="2560"/>
      <c r="P820" s="2560"/>
      <c r="Q820" s="2560"/>
      <c r="R820" s="2560"/>
      <c r="S820" s="2561"/>
      <c r="T820" s="2591"/>
      <c r="U820" s="2591"/>
      <c r="V820" s="2591"/>
      <c r="W820" s="2591"/>
      <c r="X820" s="2591"/>
      <c r="Y820" s="2591"/>
      <c r="Z820" s="2480" t="s">
        <v>1583</v>
      </c>
      <c r="AA820" s="2480"/>
      <c r="AB820" s="2480"/>
      <c r="AC820" s="2480"/>
      <c r="AD820" s="2480"/>
      <c r="AE820" s="2480"/>
      <c r="AF820" s="2592">
        <f>IF(T820&gt;0,T820,0)</f>
        <v>0</v>
      </c>
      <c r="AG820" s="2593"/>
      <c r="AH820" s="2593"/>
      <c r="AI820" s="2593"/>
      <c r="AJ820" s="2593"/>
      <c r="AK820" s="259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95" t="s">
        <v>1584</v>
      </c>
      <c r="B821" s="2596"/>
      <c r="C821" s="2596"/>
      <c r="D821" s="2596"/>
      <c r="E821" s="2596"/>
      <c r="F821" s="2596"/>
      <c r="G821" s="2596"/>
      <c r="H821" s="2596"/>
      <c r="I821" s="2596"/>
      <c r="J821" s="2596"/>
      <c r="K821" s="2596"/>
      <c r="L821" s="2596"/>
      <c r="M821" s="2596"/>
      <c r="N821" s="2596"/>
      <c r="O821" s="2596"/>
      <c r="P821" s="2596"/>
      <c r="Q821" s="2596"/>
      <c r="R821" s="2596"/>
      <c r="S821" s="2596"/>
      <c r="T821" s="2596"/>
      <c r="U821" s="2596"/>
      <c r="V821" s="2596"/>
      <c r="W821" s="2596"/>
      <c r="X821" s="2596"/>
      <c r="Y821" s="2596"/>
      <c r="Z821" s="2596"/>
      <c r="AA821" s="2596"/>
      <c r="AB821" s="2596"/>
      <c r="AC821" s="2596"/>
      <c r="AD821" s="2596"/>
      <c r="AE821" s="2597"/>
      <c r="AF821" s="2601">
        <f>SUM(AF804:AK819)-AF820</f>
        <v>120</v>
      </c>
      <c r="AG821" s="2602"/>
      <c r="AH821" s="2602"/>
      <c r="AI821" s="2602"/>
      <c r="AJ821" s="2602"/>
      <c r="AK821" s="260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8"/>
      <c r="B822" s="2599"/>
      <c r="C822" s="2599"/>
      <c r="D822" s="2599"/>
      <c r="E822" s="2599"/>
      <c r="F822" s="2599"/>
      <c r="G822" s="2599"/>
      <c r="H822" s="2599"/>
      <c r="I822" s="2599"/>
      <c r="J822" s="2599"/>
      <c r="K822" s="2599"/>
      <c r="L822" s="2599"/>
      <c r="M822" s="2599"/>
      <c r="N822" s="2599"/>
      <c r="O822" s="2599"/>
      <c r="P822" s="2599"/>
      <c r="Q822" s="2599"/>
      <c r="R822" s="2599"/>
      <c r="S822" s="2599"/>
      <c r="T822" s="2599"/>
      <c r="U822" s="2599"/>
      <c r="V822" s="2599"/>
      <c r="W822" s="2599"/>
      <c r="X822" s="2599"/>
      <c r="Y822" s="2599"/>
      <c r="Z822" s="2599"/>
      <c r="AA822" s="2599"/>
      <c r="AB822" s="2599"/>
      <c r="AC822" s="2599"/>
      <c r="AD822" s="2599"/>
      <c r="AE822" s="2600"/>
      <c r="AF822" s="2604"/>
      <c r="AG822" s="2605"/>
      <c r="AH822" s="2605"/>
      <c r="AI822" s="2605"/>
      <c r="AJ822" s="2605"/>
      <c r="AK822" s="260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K1nOjgm7E/CKru8AGxDrYFnmp1d8BlMY0G/Uok4m9Z70GfIJ7gyOS81KB/GFeBU+9NadPMpoH+NXk39KDFPUIA==" saltValue="yK9pMtkJBVhf/xiZ0HPVC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2025-01-27T22:14:57Z</cp:lastPrinted>
  <dcterms:created xsi:type="dcterms:W3CDTF">2007-12-27T18:26:28Z</dcterms:created>
  <dcterms:modified xsi:type="dcterms:W3CDTF">2025-02-03T17:08:15Z</dcterms:modified>
</cp:coreProperties>
</file>